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ocuments\iserweb\Publications\"/>
    </mc:Choice>
  </mc:AlternateContent>
  <bookViews>
    <workbookView xWindow="240" yWindow="1020" windowWidth="14880" windowHeight="7485" tabRatio="757"/>
  </bookViews>
  <sheets>
    <sheet name="Cover" sheetId="16" r:id="rId1"/>
    <sheet name="misc tables" sheetId="11" r:id="rId2"/>
    <sheet name="Susitna rate analysis" sheetId="6" r:id="rId3"/>
    <sheet name="tornado" sheetId="15" r:id="rId4"/>
    <sheet name="graphs" sheetId="7" r:id="rId5"/>
    <sheet name="capital replacements" sheetId="13" r:id="rId6"/>
    <sheet name="Gas price projections" sheetId="9" r:id="rId7"/>
    <sheet name="AEO2013 projections" sheetId="14" r:id="rId8"/>
    <sheet name="Chugach Electric data" sheetId="8" r:id="rId9"/>
    <sheet name="county population" sheetId="10" r:id="rId10"/>
    <sheet name="AK Permanent Fund data" sheetId="3" r:id="rId11"/>
  </sheets>
  <calcPr calcId="152511"/>
</workbook>
</file>

<file path=xl/calcChain.xml><?xml version="1.0" encoding="utf-8"?>
<calcChain xmlns="http://schemas.openxmlformats.org/spreadsheetml/2006/main">
  <c r="F41" i="11" l="1"/>
  <c r="F42" i="11" s="1"/>
  <c r="F39" i="11"/>
  <c r="E202" i="6"/>
  <c r="BO111" i="6" l="1"/>
  <c r="BN111" i="6"/>
  <c r="BM111" i="6"/>
  <c r="BL111" i="6"/>
  <c r="BK111" i="6"/>
  <c r="BJ111" i="6"/>
  <c r="BI111" i="6"/>
  <c r="BH111" i="6"/>
  <c r="BG111" i="6"/>
  <c r="BF111" i="6"/>
  <c r="BE111" i="6"/>
  <c r="BD111" i="6"/>
  <c r="BC111" i="6"/>
  <c r="BB111" i="6"/>
  <c r="BA111" i="6"/>
  <c r="AZ111" i="6"/>
  <c r="AY111" i="6"/>
  <c r="AX111" i="6"/>
  <c r="AW111" i="6"/>
  <c r="BO109" i="6"/>
  <c r="BN109" i="6"/>
  <c r="BM109" i="6"/>
  <c r="BL109" i="6"/>
  <c r="BK109" i="6"/>
  <c r="BJ109" i="6"/>
  <c r="BI109" i="6"/>
  <c r="BH109" i="6"/>
  <c r="BG109" i="6"/>
  <c r="BF109" i="6"/>
  <c r="BE109" i="6"/>
  <c r="BD109" i="6"/>
  <c r="BC109" i="6"/>
  <c r="BB109" i="6"/>
  <c r="BA109" i="6"/>
  <c r="AZ109" i="6"/>
  <c r="AY109" i="6"/>
  <c r="AX109" i="6"/>
  <c r="AW109" i="6"/>
  <c r="AV111" i="6"/>
  <c r="AV109" i="6"/>
  <c r="BO166" i="6"/>
  <c r="BN166" i="6"/>
  <c r="BM166" i="6"/>
  <c r="BL166" i="6"/>
  <c r="BK166" i="6"/>
  <c r="BJ166" i="6"/>
  <c r="BI166" i="6"/>
  <c r="BH166" i="6"/>
  <c r="BG166" i="6"/>
  <c r="BF166" i="6"/>
  <c r="BE166" i="6"/>
  <c r="BD166" i="6"/>
  <c r="BC166" i="6"/>
  <c r="BB166" i="6"/>
  <c r="BA166" i="6"/>
  <c r="AZ166" i="6"/>
  <c r="AY166" i="6"/>
  <c r="AX166" i="6"/>
  <c r="A7" i="7"/>
  <c r="A8" i="7"/>
  <c r="A10" i="7"/>
  <c r="A11" i="7"/>
  <c r="E17" i="6"/>
  <c r="F42" i="15"/>
  <c r="E14" i="6"/>
  <c r="E12" i="6"/>
  <c r="BM116" i="6" s="1"/>
  <c r="E197" i="6"/>
  <c r="E16" i="6"/>
  <c r="D21" i="15" s="1"/>
  <c r="BF116" i="6" l="1"/>
  <c r="BO172" i="6"/>
  <c r="AY172" i="6"/>
  <c r="BC172" i="6"/>
  <c r="BK172" i="6"/>
  <c r="AV116" i="6"/>
  <c r="BB116" i="6"/>
  <c r="BJ116" i="6"/>
  <c r="BG172" i="6"/>
  <c r="AX116" i="6"/>
  <c r="BN116" i="6"/>
  <c r="AZ172" i="6"/>
  <c r="BD172" i="6"/>
  <c r="BH172" i="6"/>
  <c r="BL172" i="6"/>
  <c r="R107" i="6"/>
  <c r="AY116" i="6"/>
  <c r="BC116" i="6"/>
  <c r="BG116" i="6"/>
  <c r="BK116" i="6"/>
  <c r="BO116" i="6"/>
  <c r="BA172" i="6"/>
  <c r="BE172" i="6"/>
  <c r="BI172" i="6"/>
  <c r="BM172" i="6"/>
  <c r="AZ116" i="6"/>
  <c r="BD116" i="6"/>
  <c r="BH116" i="6"/>
  <c r="BL116" i="6"/>
  <c r="AX172" i="6"/>
  <c r="BB172" i="6"/>
  <c r="BF172" i="6"/>
  <c r="BJ172" i="6"/>
  <c r="BN172" i="6"/>
  <c r="AW116" i="6"/>
  <c r="BA116" i="6"/>
  <c r="BE116" i="6"/>
  <c r="BI116" i="6"/>
  <c r="R159" i="6"/>
  <c r="F43" i="15"/>
  <c r="D43" i="15"/>
  <c r="E9" i="6"/>
  <c r="F41" i="15"/>
  <c r="E41" i="15"/>
  <c r="C41" i="15"/>
  <c r="D41" i="15"/>
  <c r="E42" i="15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E6" i="6"/>
  <c r="D11" i="15" s="1"/>
  <c r="H71" i="8" l="1"/>
  <c r="H74" i="8" s="1"/>
  <c r="H76" i="8" s="1"/>
  <c r="H73" i="8"/>
  <c r="L9" i="6"/>
  <c r="E8" i="6"/>
  <c r="D13" i="15" s="1"/>
  <c r="J43" i="9"/>
  <c r="L42" i="9"/>
  <c r="L43" i="9" s="1"/>
  <c r="K42" i="9"/>
  <c r="K43" i="9" s="1"/>
  <c r="J42" i="9"/>
  <c r="I42" i="9"/>
  <c r="I43" i="9" s="1"/>
  <c r="H42" i="9"/>
  <c r="H43" i="9" s="1"/>
  <c r="D37" i="15" l="1"/>
  <c r="D14" i="15" l="1"/>
  <c r="E196" i="6" l="1"/>
  <c r="E15" i="6"/>
  <c r="D20" i="15" s="1"/>
  <c r="AW166" i="6"/>
  <c r="AV166" i="6"/>
  <c r="AU293" i="6"/>
  <c r="AT293" i="6"/>
  <c r="AS293" i="6"/>
  <c r="AR293" i="6"/>
  <c r="AQ293" i="6"/>
  <c r="AP293" i="6"/>
  <c r="AO293" i="6"/>
  <c r="AN293" i="6"/>
  <c r="AM293" i="6"/>
  <c r="AL293" i="6"/>
  <c r="AK293" i="6"/>
  <c r="AJ293" i="6"/>
  <c r="AI293" i="6"/>
  <c r="AH293" i="6"/>
  <c r="AG293" i="6"/>
  <c r="AF293" i="6"/>
  <c r="AE293" i="6"/>
  <c r="AD293" i="6"/>
  <c r="AC293" i="6"/>
  <c r="AB293" i="6"/>
  <c r="AA293" i="6"/>
  <c r="Z293" i="6"/>
  <c r="Y293" i="6"/>
  <c r="X293" i="6"/>
  <c r="W293" i="6"/>
  <c r="V293" i="6"/>
  <c r="U293" i="6"/>
  <c r="T293" i="6"/>
  <c r="S293" i="6"/>
  <c r="R293" i="6"/>
  <c r="E24" i="6" l="1"/>
  <c r="R158" i="6"/>
  <c r="E180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BO168" i="6" l="1"/>
  <c r="BK168" i="6"/>
  <c r="BG168" i="6"/>
  <c r="BC168" i="6"/>
  <c r="AY168" i="6"/>
  <c r="BL168" i="6"/>
  <c r="BD168" i="6"/>
  <c r="BN168" i="6"/>
  <c r="BJ168" i="6"/>
  <c r="BF168" i="6"/>
  <c r="BB168" i="6"/>
  <c r="AX168" i="6"/>
  <c r="BM168" i="6"/>
  <c r="BI168" i="6"/>
  <c r="BE168" i="6"/>
  <c r="BA168" i="6"/>
  <c r="BH168" i="6"/>
  <c r="AZ168" i="6"/>
  <c r="AW168" i="6"/>
  <c r="AV168" i="6"/>
  <c r="H7" i="8"/>
  <c r="H6" i="8"/>
  <c r="I4" i="8"/>
  <c r="H79" i="8"/>
  <c r="H5" i="8"/>
  <c r="F7" i="8"/>
  <c r="I7" i="8" s="1"/>
  <c r="F6" i="8"/>
  <c r="F5" i="8"/>
  <c r="E8" i="8"/>
  <c r="E83" i="8"/>
  <c r="I6" i="8" l="1"/>
  <c r="I5" i="8"/>
  <c r="J6" i="8" s="1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F37" i="9"/>
  <c r="G201" i="6" l="1"/>
  <c r="H201" i="6"/>
  <c r="G21" i="6"/>
  <c r="I21" i="6"/>
  <c r="H21" i="6"/>
  <c r="F38" i="9"/>
  <c r="F8" i="9" s="1"/>
  <c r="G38" i="9"/>
  <c r="G8" i="9" l="1"/>
  <c r="D46" i="9"/>
  <c r="F240" i="6"/>
  <c r="H37" i="9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T37" i="9" s="1"/>
  <c r="U37" i="9" s="1"/>
  <c r="V37" i="9" s="1"/>
  <c r="W37" i="9" s="1"/>
  <c r="X37" i="9" s="1"/>
  <c r="Y37" i="9" s="1"/>
  <c r="Z37" i="9" s="1"/>
  <c r="AA37" i="9" s="1"/>
  <c r="AB37" i="9" s="1"/>
  <c r="AC37" i="9" s="1"/>
  <c r="AD37" i="9" s="1"/>
  <c r="AE37" i="9" s="1"/>
  <c r="AF37" i="9" s="1"/>
  <c r="AG37" i="9" s="1"/>
  <c r="AH37" i="9" s="1"/>
  <c r="AI37" i="9" s="1"/>
  <c r="AJ37" i="9" s="1"/>
  <c r="AK37" i="9" s="1"/>
  <c r="AL37" i="9" s="1"/>
  <c r="AM37" i="9" s="1"/>
  <c r="AN37" i="9" s="1"/>
  <c r="AO37" i="9" s="1"/>
  <c r="AP37" i="9" s="1"/>
  <c r="AQ37" i="9" s="1"/>
  <c r="AR37" i="9" s="1"/>
  <c r="AS37" i="9" s="1"/>
  <c r="AT37" i="9" s="1"/>
  <c r="AU37" i="9" s="1"/>
  <c r="AV37" i="9" s="1"/>
  <c r="AV38" i="9" s="1"/>
  <c r="AI80" i="9"/>
  <c r="AI81" i="9" s="1"/>
  <c r="AH80" i="9"/>
  <c r="AH81" i="9" s="1"/>
  <c r="AG80" i="9"/>
  <c r="AG81" i="9" s="1"/>
  <c r="AF80" i="9"/>
  <c r="AF81" i="9" s="1"/>
  <c r="AE80" i="9"/>
  <c r="AE81" i="9" s="1"/>
  <c r="AD80" i="9"/>
  <c r="AD81" i="9" s="1"/>
  <c r="AC80" i="9"/>
  <c r="AC81" i="9" s="1"/>
  <c r="AB80" i="9"/>
  <c r="AB81" i="9" s="1"/>
  <c r="AA80" i="9"/>
  <c r="AA81" i="9" s="1"/>
  <c r="Z80" i="9"/>
  <c r="Z81" i="9" s="1"/>
  <c r="Y80" i="9"/>
  <c r="Y81" i="9" s="1"/>
  <c r="X80" i="9"/>
  <c r="X81" i="9" s="1"/>
  <c r="W80" i="9"/>
  <c r="W81" i="9" s="1"/>
  <c r="V80" i="9"/>
  <c r="V81" i="9" s="1"/>
  <c r="U80" i="9"/>
  <c r="U81" i="9" s="1"/>
  <c r="T80" i="9"/>
  <c r="T81" i="9" s="1"/>
  <c r="S80" i="9"/>
  <c r="S81" i="9" s="1"/>
  <c r="R80" i="9"/>
  <c r="R81" i="9" s="1"/>
  <c r="Q80" i="9"/>
  <c r="Q81" i="9" s="1"/>
  <c r="P80" i="9"/>
  <c r="P81" i="9" s="1"/>
  <c r="O80" i="9"/>
  <c r="O81" i="9" s="1"/>
  <c r="N80" i="9"/>
  <c r="N81" i="9" s="1"/>
  <c r="M80" i="9"/>
  <c r="M81" i="9" s="1"/>
  <c r="L80" i="9"/>
  <c r="L81" i="9" s="1"/>
  <c r="K80" i="9"/>
  <c r="K81" i="9" s="1"/>
  <c r="J80" i="9"/>
  <c r="J81" i="9" s="1"/>
  <c r="I80" i="9"/>
  <c r="I81" i="9" s="1"/>
  <c r="H80" i="9"/>
  <c r="H81" i="9" s="1"/>
  <c r="F80" i="9"/>
  <c r="F81" i="9" s="1"/>
  <c r="E80" i="9"/>
  <c r="E81" i="9" s="1"/>
  <c r="G80" i="9"/>
  <c r="G81" i="9" s="1"/>
  <c r="G82" i="9" s="1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AI58" i="9"/>
  <c r="AH58" i="9"/>
  <c r="AH60" i="9" s="1"/>
  <c r="AH64" i="9" s="1"/>
  <c r="AG58" i="9"/>
  <c r="AG60" i="9" s="1"/>
  <c r="AG64" i="9" s="1"/>
  <c r="AF58" i="9"/>
  <c r="AF60" i="9" s="1"/>
  <c r="AF64" i="9" s="1"/>
  <c r="AE58" i="9"/>
  <c r="AE60" i="9" s="1"/>
  <c r="AE64" i="9" s="1"/>
  <c r="AD58" i="9"/>
  <c r="AD60" i="9" s="1"/>
  <c r="AD64" i="9" s="1"/>
  <c r="AC58" i="9"/>
  <c r="AC60" i="9" s="1"/>
  <c r="AC64" i="9" s="1"/>
  <c r="AB58" i="9"/>
  <c r="AB60" i="9" s="1"/>
  <c r="AB64" i="9" s="1"/>
  <c r="AA58" i="9"/>
  <c r="AA60" i="9" s="1"/>
  <c r="AA64" i="9" s="1"/>
  <c r="Z58" i="9"/>
  <c r="Z60" i="9" s="1"/>
  <c r="Z64" i="9" s="1"/>
  <c r="Y58" i="9"/>
  <c r="Y60" i="9" s="1"/>
  <c r="Y64" i="9" s="1"/>
  <c r="X58" i="9"/>
  <c r="X60" i="9" s="1"/>
  <c r="X64" i="9" s="1"/>
  <c r="W58" i="9"/>
  <c r="W60" i="9" s="1"/>
  <c r="W64" i="9" s="1"/>
  <c r="V58" i="9"/>
  <c r="V60" i="9" s="1"/>
  <c r="V64" i="9" s="1"/>
  <c r="U58" i="9"/>
  <c r="U60" i="9" s="1"/>
  <c r="U64" i="9" s="1"/>
  <c r="T58" i="9"/>
  <c r="T60" i="9" s="1"/>
  <c r="T64" i="9" s="1"/>
  <c r="S58" i="9"/>
  <c r="S60" i="9" s="1"/>
  <c r="S64" i="9" s="1"/>
  <c r="E68" i="9" s="1"/>
  <c r="R58" i="9"/>
  <c r="R60" i="9" s="1"/>
  <c r="R64" i="9" s="1"/>
  <c r="Q58" i="9"/>
  <c r="Q60" i="9" s="1"/>
  <c r="Q64" i="9" s="1"/>
  <c r="P58" i="9"/>
  <c r="P60" i="9" s="1"/>
  <c r="P64" i="9" s="1"/>
  <c r="O58" i="9"/>
  <c r="O60" i="9" s="1"/>
  <c r="O64" i="9" s="1"/>
  <c r="N58" i="9"/>
  <c r="N60" i="9" s="1"/>
  <c r="N64" i="9" s="1"/>
  <c r="M58" i="9"/>
  <c r="M60" i="9" s="1"/>
  <c r="M64" i="9" s="1"/>
  <c r="L58" i="9"/>
  <c r="L60" i="9" s="1"/>
  <c r="L64" i="9" s="1"/>
  <c r="K58" i="9"/>
  <c r="K60" i="9" s="1"/>
  <c r="K64" i="9" s="1"/>
  <c r="J58" i="9"/>
  <c r="J60" i="9" s="1"/>
  <c r="J64" i="9" s="1"/>
  <c r="I58" i="9"/>
  <c r="I60" i="9" s="1"/>
  <c r="I64" i="9" s="1"/>
  <c r="H58" i="9"/>
  <c r="H60" i="9" s="1"/>
  <c r="H64" i="9" s="1"/>
  <c r="G58" i="9"/>
  <c r="G60" i="9" s="1"/>
  <c r="G64" i="9" s="1"/>
  <c r="D68" i="9" s="1"/>
  <c r="F58" i="9"/>
  <c r="F60" i="9" s="1"/>
  <c r="F64" i="9" s="1"/>
  <c r="E58" i="9"/>
  <c r="E60" i="9" s="1"/>
  <c r="I82" i="9" l="1"/>
  <c r="M82" i="9"/>
  <c r="Q82" i="9"/>
  <c r="U82" i="9"/>
  <c r="AV8" i="9"/>
  <c r="AU240" i="6"/>
  <c r="J82" i="9"/>
  <c r="R82" i="9"/>
  <c r="Z82" i="9"/>
  <c r="AH82" i="9"/>
  <c r="N38" i="9"/>
  <c r="K82" i="9"/>
  <c r="O82" i="9"/>
  <c r="S82" i="9"/>
  <c r="W82" i="9"/>
  <c r="AA82" i="9"/>
  <c r="AE82" i="9"/>
  <c r="AI82" i="9"/>
  <c r="J38" i="9"/>
  <c r="L38" i="9"/>
  <c r="Y82" i="9"/>
  <c r="AC82" i="9"/>
  <c r="AG82" i="9"/>
  <c r="Z38" i="9"/>
  <c r="AF38" i="9"/>
  <c r="N82" i="9"/>
  <c r="V82" i="9"/>
  <c r="AD82" i="9"/>
  <c r="X38" i="9"/>
  <c r="H82" i="9"/>
  <c r="L82" i="9"/>
  <c r="P82" i="9"/>
  <c r="T82" i="9"/>
  <c r="X82" i="9"/>
  <c r="AB82" i="9"/>
  <c r="AF82" i="9"/>
  <c r="AD38" i="9"/>
  <c r="U38" i="9"/>
  <c r="AE38" i="9"/>
  <c r="N10" i="9"/>
  <c r="M241" i="6"/>
  <c r="V10" i="9"/>
  <c r="U241" i="6"/>
  <c r="AH10" i="9"/>
  <c r="AG241" i="6"/>
  <c r="F241" i="6"/>
  <c r="G10" i="9"/>
  <c r="N241" i="6"/>
  <c r="O10" i="9"/>
  <c r="V241" i="6"/>
  <c r="W10" i="9"/>
  <c r="AD241" i="6"/>
  <c r="AE10" i="9"/>
  <c r="H10" i="9"/>
  <c r="G241" i="6"/>
  <c r="L10" i="9"/>
  <c r="K241" i="6"/>
  <c r="P10" i="9"/>
  <c r="O241" i="6"/>
  <c r="T10" i="9"/>
  <c r="S241" i="6"/>
  <c r="X10" i="9"/>
  <c r="W241" i="6"/>
  <c r="AB10" i="9"/>
  <c r="AA241" i="6"/>
  <c r="AF10" i="9"/>
  <c r="AE241" i="6"/>
  <c r="J10" i="9"/>
  <c r="I241" i="6"/>
  <c r="R10" i="9"/>
  <c r="Q241" i="6"/>
  <c r="Z10" i="9"/>
  <c r="Y241" i="6"/>
  <c r="AD10" i="9"/>
  <c r="AC241" i="6"/>
  <c r="J241" i="6"/>
  <c r="K10" i="9"/>
  <c r="R241" i="6"/>
  <c r="S10" i="9"/>
  <c r="Z241" i="6"/>
  <c r="AA10" i="9"/>
  <c r="I10" i="9"/>
  <c r="H241" i="6"/>
  <c r="M10" i="9"/>
  <c r="L241" i="6"/>
  <c r="Q10" i="9"/>
  <c r="P241" i="6"/>
  <c r="U10" i="9"/>
  <c r="T241" i="6"/>
  <c r="Y10" i="9"/>
  <c r="X241" i="6"/>
  <c r="AC10" i="9"/>
  <c r="AB241" i="6"/>
  <c r="AG10" i="9"/>
  <c r="AF241" i="6"/>
  <c r="AT38" i="9"/>
  <c r="AI60" i="9"/>
  <c r="V38" i="9"/>
  <c r="M38" i="9"/>
  <c r="H38" i="9"/>
  <c r="E64" i="9"/>
  <c r="T38" i="9"/>
  <c r="O38" i="9"/>
  <c r="AP38" i="9"/>
  <c r="K38" i="9"/>
  <c r="AI38" i="9"/>
  <c r="Q38" i="9"/>
  <c r="AL38" i="9"/>
  <c r="AS38" i="9"/>
  <c r="AN38" i="9"/>
  <c r="AU38" i="9"/>
  <c r="AA38" i="9"/>
  <c r="AG38" i="9"/>
  <c r="AH38" i="9"/>
  <c r="R38" i="9"/>
  <c r="AC38" i="9"/>
  <c r="AJ38" i="9"/>
  <c r="P38" i="9"/>
  <c r="AQ38" i="9"/>
  <c r="S38" i="9"/>
  <c r="Y38" i="9"/>
  <c r="AK38" i="9"/>
  <c r="AR38" i="9"/>
  <c r="AB38" i="9"/>
  <c r="AM38" i="9"/>
  <c r="W38" i="9"/>
  <c r="AO38" i="9"/>
  <c r="I38" i="9"/>
  <c r="H73" i="9"/>
  <c r="L73" i="9"/>
  <c r="T73" i="9"/>
  <c r="M73" i="9"/>
  <c r="U73" i="9"/>
  <c r="Y73" i="9"/>
  <c r="AG73" i="9"/>
  <c r="I73" i="9"/>
  <c r="Q73" i="9"/>
  <c r="AC73" i="9"/>
  <c r="G73" i="9"/>
  <c r="K73" i="9"/>
  <c r="O73" i="9"/>
  <c r="S73" i="9"/>
  <c r="W73" i="9"/>
  <c r="AA73" i="9"/>
  <c r="AE73" i="9"/>
  <c r="AI73" i="9"/>
  <c r="P73" i="9"/>
  <c r="X73" i="9"/>
  <c r="AB73" i="9"/>
  <c r="AF73" i="9"/>
  <c r="F73" i="9"/>
  <c r="J73" i="9"/>
  <c r="N73" i="9"/>
  <c r="R73" i="9"/>
  <c r="V73" i="9"/>
  <c r="Z73" i="9"/>
  <c r="AD73" i="9"/>
  <c r="AH73" i="9"/>
  <c r="AB8" i="9" l="1"/>
  <c r="AA240" i="6"/>
  <c r="AC8" i="9"/>
  <c r="AB240" i="6"/>
  <c r="AL8" i="9"/>
  <c r="AK240" i="6"/>
  <c r="H8" i="9"/>
  <c r="G240" i="6"/>
  <c r="L8" i="9"/>
  <c r="K240" i="6"/>
  <c r="AR8" i="9"/>
  <c r="AQ240" i="6"/>
  <c r="R8" i="9"/>
  <c r="Q240" i="6"/>
  <c r="Q8" i="9"/>
  <c r="P240" i="6"/>
  <c r="M8" i="9"/>
  <c r="L240" i="6"/>
  <c r="AE8" i="9"/>
  <c r="AD240" i="6"/>
  <c r="J8" i="9"/>
  <c r="I240" i="6"/>
  <c r="N8" i="9"/>
  <c r="M240" i="6"/>
  <c r="W8" i="9"/>
  <c r="V240" i="6"/>
  <c r="AK8" i="9"/>
  <c r="AJ240" i="6"/>
  <c r="P8" i="9"/>
  <c r="O240" i="6"/>
  <c r="AH8" i="9"/>
  <c r="AG240" i="6"/>
  <c r="AN8" i="9"/>
  <c r="AM240" i="6"/>
  <c r="AI8" i="9"/>
  <c r="F46" i="9"/>
  <c r="AH240" i="6"/>
  <c r="T8" i="9"/>
  <c r="S240" i="6"/>
  <c r="V8" i="9"/>
  <c r="U240" i="6"/>
  <c r="U8" i="9"/>
  <c r="T240" i="6"/>
  <c r="I8" i="9"/>
  <c r="H240" i="6"/>
  <c r="S8" i="9"/>
  <c r="E46" i="9"/>
  <c r="R240" i="6"/>
  <c r="AA8" i="9"/>
  <c r="Z240" i="6"/>
  <c r="AP8" i="9"/>
  <c r="AO240" i="6"/>
  <c r="AT8" i="9"/>
  <c r="AS240" i="6"/>
  <c r="Z8" i="9"/>
  <c r="Y240" i="6"/>
  <c r="AO8" i="9"/>
  <c r="AN240" i="6"/>
  <c r="AQ8" i="9"/>
  <c r="AP240" i="6"/>
  <c r="AU8" i="9"/>
  <c r="AT240" i="6"/>
  <c r="O8" i="9"/>
  <c r="N240" i="6"/>
  <c r="AM8" i="9"/>
  <c r="AL240" i="6"/>
  <c r="Y8" i="9"/>
  <c r="X240" i="6"/>
  <c r="AJ8" i="9"/>
  <c r="AI240" i="6"/>
  <c r="AG8" i="9"/>
  <c r="AF240" i="6"/>
  <c r="AS8" i="9"/>
  <c r="G46" i="9"/>
  <c r="AR240" i="6"/>
  <c r="K8" i="9"/>
  <c r="J240" i="6"/>
  <c r="AD8" i="9"/>
  <c r="AC240" i="6"/>
  <c r="X8" i="9"/>
  <c r="W240" i="6"/>
  <c r="AF8" i="9"/>
  <c r="AE240" i="6"/>
  <c r="AJ60" i="9"/>
  <c r="AI64" i="9"/>
  <c r="F68" i="9" s="1"/>
  <c r="J62" i="13"/>
  <c r="J61" i="13"/>
  <c r="J60" i="13"/>
  <c r="J59" i="13"/>
  <c r="J58" i="13"/>
  <c r="J57" i="13"/>
  <c r="J56" i="13"/>
  <c r="J55" i="13"/>
  <c r="J54" i="13"/>
  <c r="J53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G92" i="13"/>
  <c r="F92" i="13"/>
  <c r="E92" i="13"/>
  <c r="D92" i="13"/>
  <c r="E72" i="13"/>
  <c r="D72" i="13"/>
  <c r="E52" i="13"/>
  <c r="D52" i="13"/>
  <c r="H63" i="13"/>
  <c r="G52" i="13"/>
  <c r="F52" i="13"/>
  <c r="E32" i="13"/>
  <c r="D32" i="13"/>
  <c r="J32" i="13" s="1"/>
  <c r="F50" i="6"/>
  <c r="AH241" i="6" l="1"/>
  <c r="AI10" i="9"/>
  <c r="AK60" i="9"/>
  <c r="AJ64" i="9"/>
  <c r="J52" i="13"/>
  <c r="J11" i="13" s="1"/>
  <c r="E50" i="6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AJ10" i="9" l="1"/>
  <c r="AI241" i="6"/>
  <c r="AL60" i="9"/>
  <c r="AK64" i="9"/>
  <c r="Q51" i="6"/>
  <c r="Q52" i="6" s="1"/>
  <c r="P51" i="6"/>
  <c r="P52" i="6" s="1"/>
  <c r="L51" i="6"/>
  <c r="L52" i="6" s="1"/>
  <c r="H51" i="6"/>
  <c r="H52" i="6" s="1"/>
  <c r="O51" i="6"/>
  <c r="O52" i="6" s="1"/>
  <c r="K51" i="6"/>
  <c r="K52" i="6" s="1"/>
  <c r="G51" i="6"/>
  <c r="G52" i="6" s="1"/>
  <c r="R51" i="6"/>
  <c r="N51" i="6"/>
  <c r="N52" i="6" s="1"/>
  <c r="J51" i="6"/>
  <c r="J52" i="6" s="1"/>
  <c r="M51" i="6"/>
  <c r="M52" i="6" s="1"/>
  <c r="I51" i="6"/>
  <c r="I52" i="6" s="1"/>
  <c r="F51" i="6"/>
  <c r="F52" i="6" s="1"/>
  <c r="AJ241" i="6" l="1"/>
  <c r="AK10" i="9"/>
  <c r="AM60" i="9"/>
  <c r="AL64" i="9"/>
  <c r="D22" i="15"/>
  <c r="AU356" i="6"/>
  <c r="AT356" i="6"/>
  <c r="AS356" i="6"/>
  <c r="AR356" i="6"/>
  <c r="AQ356" i="6"/>
  <c r="AP356" i="6"/>
  <c r="AO356" i="6"/>
  <c r="AN356" i="6"/>
  <c r="AM356" i="6"/>
  <c r="AL356" i="6"/>
  <c r="AK356" i="6"/>
  <c r="AJ356" i="6"/>
  <c r="AI356" i="6"/>
  <c r="AH356" i="6"/>
  <c r="AG356" i="6"/>
  <c r="AF356" i="6"/>
  <c r="AE356" i="6"/>
  <c r="AD356" i="6"/>
  <c r="AC356" i="6"/>
  <c r="AB356" i="6"/>
  <c r="AA356" i="6"/>
  <c r="Z356" i="6"/>
  <c r="Y356" i="6"/>
  <c r="X356" i="6"/>
  <c r="W356" i="6"/>
  <c r="V356" i="6"/>
  <c r="U356" i="6"/>
  <c r="T356" i="6"/>
  <c r="S356" i="6"/>
  <c r="R356" i="6"/>
  <c r="R353" i="6"/>
  <c r="AT349" i="6"/>
  <c r="AS349" i="6"/>
  <c r="AR349" i="6"/>
  <c r="AQ349" i="6"/>
  <c r="AP349" i="6"/>
  <c r="AO349" i="6"/>
  <c r="AN349" i="6"/>
  <c r="AM349" i="6"/>
  <c r="AL349" i="6"/>
  <c r="AK349" i="6"/>
  <c r="AJ349" i="6"/>
  <c r="AI349" i="6"/>
  <c r="AH349" i="6"/>
  <c r="AG349" i="6"/>
  <c r="AF349" i="6"/>
  <c r="AE349" i="6"/>
  <c r="AD349" i="6"/>
  <c r="AC349" i="6"/>
  <c r="AB349" i="6"/>
  <c r="AA349" i="6"/>
  <c r="Z349" i="6"/>
  <c r="Y349" i="6"/>
  <c r="X349" i="6"/>
  <c r="W349" i="6"/>
  <c r="V349" i="6"/>
  <c r="U349" i="6"/>
  <c r="T349" i="6"/>
  <c r="S349" i="6"/>
  <c r="R349" i="6"/>
  <c r="R348" i="6"/>
  <c r="R341" i="6"/>
  <c r="BO323" i="6"/>
  <c r="BO324" i="6" s="1"/>
  <c r="BN323" i="6"/>
  <c r="BN324" i="6" s="1"/>
  <c r="BM323" i="6"/>
  <c r="BM324" i="6" s="1"/>
  <c r="BL323" i="6"/>
  <c r="BL324" i="6" s="1"/>
  <c r="BK323" i="6"/>
  <c r="BK324" i="6" s="1"/>
  <c r="BJ323" i="6"/>
  <c r="BJ324" i="6" s="1"/>
  <c r="BI323" i="6"/>
  <c r="BI324" i="6" s="1"/>
  <c r="BH323" i="6"/>
  <c r="BH324" i="6" s="1"/>
  <c r="BG323" i="6"/>
  <c r="BG324" i="6" s="1"/>
  <c r="BF323" i="6"/>
  <c r="BF324" i="6" s="1"/>
  <c r="BE323" i="6"/>
  <c r="BE324" i="6" s="1"/>
  <c r="BD323" i="6"/>
  <c r="BD324" i="6" s="1"/>
  <c r="BC323" i="6"/>
  <c r="BC324" i="6" s="1"/>
  <c r="BB323" i="6"/>
  <c r="BB324" i="6" s="1"/>
  <c r="BA323" i="6"/>
  <c r="BA324" i="6" s="1"/>
  <c r="AZ323" i="6"/>
  <c r="AZ324" i="6" s="1"/>
  <c r="AY323" i="6"/>
  <c r="AY324" i="6" s="1"/>
  <c r="AX323" i="6"/>
  <c r="AX324" i="6" s="1"/>
  <c r="AW323" i="6"/>
  <c r="AW324" i="6" s="1"/>
  <c r="AV323" i="6"/>
  <c r="AV324" i="6" s="1"/>
  <c r="AT286" i="6"/>
  <c r="AS286" i="6"/>
  <c r="AR286" i="6"/>
  <c r="AQ286" i="6"/>
  <c r="AP286" i="6"/>
  <c r="AO286" i="6"/>
  <c r="AN286" i="6"/>
  <c r="AM286" i="6"/>
  <c r="AL286" i="6"/>
  <c r="AK286" i="6"/>
  <c r="AJ286" i="6"/>
  <c r="AI286" i="6"/>
  <c r="AH286" i="6"/>
  <c r="AG286" i="6"/>
  <c r="AF286" i="6"/>
  <c r="AE286" i="6"/>
  <c r="AD286" i="6"/>
  <c r="AC286" i="6"/>
  <c r="AB286" i="6"/>
  <c r="AA286" i="6"/>
  <c r="Z286" i="6"/>
  <c r="Y286" i="6"/>
  <c r="X286" i="6"/>
  <c r="W286" i="6"/>
  <c r="V286" i="6"/>
  <c r="U286" i="6"/>
  <c r="T286" i="6"/>
  <c r="S286" i="6"/>
  <c r="R286" i="6"/>
  <c r="I185" i="6"/>
  <c r="I182" i="6"/>
  <c r="E198" i="6"/>
  <c r="E203" i="6"/>
  <c r="B236" i="6" s="1"/>
  <c r="E195" i="6"/>
  <c r="R291" i="6" s="1"/>
  <c r="E200" i="6"/>
  <c r="E194" i="6"/>
  <c r="E199" i="6"/>
  <c r="E193" i="6"/>
  <c r="E192" i="6"/>
  <c r="E191" i="6"/>
  <c r="E190" i="6"/>
  <c r="E188" i="6"/>
  <c r="E186" i="6"/>
  <c r="E184" i="6"/>
  <c r="E183" i="6"/>
  <c r="E181" i="6"/>
  <c r="H185" i="6"/>
  <c r="H182" i="6"/>
  <c r="G185" i="6"/>
  <c r="G182" i="6"/>
  <c r="R236" i="6" l="1"/>
  <c r="AJ236" i="6"/>
  <c r="AF236" i="6"/>
  <c r="AB236" i="6"/>
  <c r="X236" i="6"/>
  <c r="T236" i="6"/>
  <c r="AI236" i="6"/>
  <c r="AE236" i="6"/>
  <c r="AA236" i="6"/>
  <c r="W236" i="6"/>
  <c r="S236" i="6"/>
  <c r="AH236" i="6"/>
  <c r="AD236" i="6"/>
  <c r="Z236" i="6"/>
  <c r="V236" i="6"/>
  <c r="AG236" i="6"/>
  <c r="AC236" i="6"/>
  <c r="Y236" i="6"/>
  <c r="U236" i="6"/>
  <c r="AN60" i="9"/>
  <c r="AM64" i="9"/>
  <c r="AL10" i="9"/>
  <c r="AK241" i="6"/>
  <c r="AK236" i="6" s="1"/>
  <c r="B330" i="6"/>
  <c r="E185" i="6"/>
  <c r="E182" i="6"/>
  <c r="E187" i="6"/>
  <c r="R350" i="6"/>
  <c r="S348" i="6" s="1"/>
  <c r="S350" i="6" s="1"/>
  <c r="T348" i="6" s="1"/>
  <c r="I189" i="6"/>
  <c r="H189" i="6"/>
  <c r="G189" i="6"/>
  <c r="F221" i="6"/>
  <c r="K185" i="6" l="1"/>
  <c r="AO60" i="9"/>
  <c r="AN64" i="9"/>
  <c r="AL241" i="6"/>
  <c r="AL236" i="6" s="1"/>
  <c r="AM10" i="9"/>
  <c r="AT265" i="6"/>
  <c r="AT266" i="6" s="1"/>
  <c r="AB265" i="6"/>
  <c r="AB266" i="6" s="1"/>
  <c r="AD265" i="6"/>
  <c r="AD266" i="6" s="1"/>
  <c r="AN265" i="6"/>
  <c r="AN266" i="6" s="1"/>
  <c r="AU265" i="6"/>
  <c r="AU266" i="6" s="1"/>
  <c r="AO265" i="6"/>
  <c r="AO266" i="6" s="1"/>
  <c r="S265" i="6"/>
  <c r="S266" i="6" s="1"/>
  <c r="Y265" i="6"/>
  <c r="Y266" i="6" s="1"/>
  <c r="E189" i="6"/>
  <c r="AP265" i="6"/>
  <c r="AP266" i="6" s="1"/>
  <c r="Z265" i="6"/>
  <c r="Z266" i="6" s="1"/>
  <c r="AF265" i="6"/>
  <c r="AF266" i="6" s="1"/>
  <c r="AK265" i="6"/>
  <c r="AK266" i="6" s="1"/>
  <c r="U265" i="6"/>
  <c r="U266" i="6" s="1"/>
  <c r="T265" i="6"/>
  <c r="T266" i="6" s="1"/>
  <c r="AQ265" i="6"/>
  <c r="AQ266" i="6" s="1"/>
  <c r="AE265" i="6"/>
  <c r="AE266" i="6" s="1"/>
  <c r="AL265" i="6"/>
  <c r="AL266" i="6" s="1"/>
  <c r="V265" i="6"/>
  <c r="V266" i="6" s="1"/>
  <c r="X265" i="6"/>
  <c r="X266" i="6" s="1"/>
  <c r="AG265" i="6"/>
  <c r="AG266" i="6" s="1"/>
  <c r="AR265" i="6"/>
  <c r="AR266" i="6" s="1"/>
  <c r="AM265" i="6"/>
  <c r="AM266" i="6" s="1"/>
  <c r="AA265" i="6"/>
  <c r="AA266" i="6" s="1"/>
  <c r="AH265" i="6"/>
  <c r="AH266" i="6" s="1"/>
  <c r="R265" i="6"/>
  <c r="R266" i="6" s="1"/>
  <c r="AS265" i="6"/>
  <c r="AS266" i="6" s="1"/>
  <c r="AC265" i="6"/>
  <c r="AC266" i="6" s="1"/>
  <c r="AJ265" i="6"/>
  <c r="AJ266" i="6" s="1"/>
  <c r="W265" i="6"/>
  <c r="W266" i="6" s="1"/>
  <c r="AI265" i="6"/>
  <c r="AI266" i="6" s="1"/>
  <c r="T350" i="6"/>
  <c r="U348" i="6" s="1"/>
  <c r="AM241" i="6" l="1"/>
  <c r="AM236" i="6" s="1"/>
  <c r="AN10" i="9"/>
  <c r="AP60" i="9"/>
  <c r="AO64" i="9"/>
  <c r="AT248" i="6"/>
  <c r="AP248" i="6"/>
  <c r="AL248" i="6"/>
  <c r="AH248" i="6"/>
  <c r="AD248" i="6"/>
  <c r="Z248" i="6"/>
  <c r="V248" i="6"/>
  <c r="AN248" i="6"/>
  <c r="AB248" i="6"/>
  <c r="AS248" i="6"/>
  <c r="AO248" i="6"/>
  <c r="AK248" i="6"/>
  <c r="AG248" i="6"/>
  <c r="AC248" i="6"/>
  <c r="Y248" i="6"/>
  <c r="U248" i="6"/>
  <c r="AU248" i="6"/>
  <c r="AQ248" i="6"/>
  <c r="AM248" i="6"/>
  <c r="AI248" i="6"/>
  <c r="AE248" i="6"/>
  <c r="AA248" i="6"/>
  <c r="W248" i="6"/>
  <c r="S248" i="6"/>
  <c r="R248" i="6"/>
  <c r="P248" i="6" s="1"/>
  <c r="AR248" i="6"/>
  <c r="AJ248" i="6"/>
  <c r="AF248" i="6"/>
  <c r="X248" i="6"/>
  <c r="T248" i="6"/>
  <c r="U350" i="6"/>
  <c r="V348" i="6" s="1"/>
  <c r="AN241" i="6" l="1"/>
  <c r="AN236" i="6" s="1"/>
  <c r="AO10" i="9"/>
  <c r="AQ60" i="9"/>
  <c r="AP64" i="9"/>
  <c r="V350" i="6"/>
  <c r="W348" i="6" s="1"/>
  <c r="AP10" i="9" l="1"/>
  <c r="AO241" i="6"/>
  <c r="AO236" i="6" s="1"/>
  <c r="AR60" i="9"/>
  <c r="AQ64" i="9"/>
  <c r="W350" i="6"/>
  <c r="X348" i="6" s="1"/>
  <c r="AP241" i="6" l="1"/>
  <c r="AP236" i="6" s="1"/>
  <c r="AQ10" i="9"/>
  <c r="AS60" i="9"/>
  <c r="AR64" i="9"/>
  <c r="X350" i="6"/>
  <c r="Y348" i="6" s="1"/>
  <c r="AR10" i="9" l="1"/>
  <c r="AQ241" i="6"/>
  <c r="AQ236" i="6" s="1"/>
  <c r="AT60" i="9"/>
  <c r="AS64" i="9"/>
  <c r="G68" i="9" s="1"/>
  <c r="Y350" i="6"/>
  <c r="Z348" i="6" s="1"/>
  <c r="AR241" i="6" l="1"/>
  <c r="AR236" i="6" s="1"/>
  <c r="AS10" i="9"/>
  <c r="AU60" i="9"/>
  <c r="AT64" i="9"/>
  <c r="Z350" i="6"/>
  <c r="AA348" i="6" s="1"/>
  <c r="AT10" i="9" l="1"/>
  <c r="AS241" i="6"/>
  <c r="AS236" i="6" s="1"/>
  <c r="AV60" i="9"/>
  <c r="AV64" i="9" s="1"/>
  <c r="AU64" i="9"/>
  <c r="AA350" i="6"/>
  <c r="AB348" i="6" s="1"/>
  <c r="AU241" i="6" l="1"/>
  <c r="AU236" i="6" s="1"/>
  <c r="AV10" i="9"/>
  <c r="AT241" i="6"/>
  <c r="AT236" i="6" s="1"/>
  <c r="AU10" i="9"/>
  <c r="AB350" i="6"/>
  <c r="AC348" i="6" s="1"/>
  <c r="AC350" i="6" l="1"/>
  <c r="AD348" i="6" s="1"/>
  <c r="AD350" i="6" l="1"/>
  <c r="AE348" i="6" s="1"/>
  <c r="AE350" i="6" l="1"/>
  <c r="AF348" i="6" s="1"/>
  <c r="AF350" i="6" l="1"/>
  <c r="AG348" i="6" s="1"/>
  <c r="AG350" i="6" l="1"/>
  <c r="AH348" i="6" s="1"/>
  <c r="AH350" i="6" l="1"/>
  <c r="AI348" i="6" s="1"/>
  <c r="AI350" i="6" l="1"/>
  <c r="AJ348" i="6" s="1"/>
  <c r="AJ350" i="6" l="1"/>
  <c r="AK348" i="6" s="1"/>
  <c r="E23" i="6"/>
  <c r="E20" i="6"/>
  <c r="D25" i="15" s="1"/>
  <c r="E19" i="6"/>
  <c r="D24" i="15" s="1"/>
  <c r="E18" i="6"/>
  <c r="D23" i="15" s="1"/>
  <c r="D19" i="15"/>
  <c r="E13" i="6"/>
  <c r="D18" i="15" s="1"/>
  <c r="E11" i="6"/>
  <c r="D16" i="15" s="1"/>
  <c r="E10" i="6"/>
  <c r="D15" i="15" s="1"/>
  <c r="I7" i="6"/>
  <c r="E7" i="6" s="1"/>
  <c r="D12" i="15" l="1"/>
  <c r="N9" i="6"/>
  <c r="N10" i="6" s="1"/>
  <c r="BH165" i="6"/>
  <c r="BN73" i="6"/>
  <c r="BJ73" i="6"/>
  <c r="BF73" i="6"/>
  <c r="BB73" i="6"/>
  <c r="AX73" i="6"/>
  <c r="BL73" i="6"/>
  <c r="BH73" i="6"/>
  <c r="AZ73" i="6"/>
  <c r="BO73" i="6"/>
  <c r="BG73" i="6"/>
  <c r="AY73" i="6"/>
  <c r="BM73" i="6"/>
  <c r="BI73" i="6"/>
  <c r="BE73" i="6"/>
  <c r="BA73" i="6"/>
  <c r="AW73" i="6"/>
  <c r="BD73" i="6"/>
  <c r="AV73" i="6"/>
  <c r="BK73" i="6"/>
  <c r="BC73" i="6"/>
  <c r="D17" i="15"/>
  <c r="AW172" i="6"/>
  <c r="AV172" i="6"/>
  <c r="C165" i="6"/>
  <c r="B141" i="6"/>
  <c r="N14" i="13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C47" i="6"/>
  <c r="BO123" i="6"/>
  <c r="BO124" i="6" s="1"/>
  <c r="BK123" i="6"/>
  <c r="BK124" i="6" s="1"/>
  <c r="BG123" i="6"/>
  <c r="BG124" i="6" s="1"/>
  <c r="BC123" i="6"/>
  <c r="BC124" i="6" s="1"/>
  <c r="AY123" i="6"/>
  <c r="AY124" i="6" s="1"/>
  <c r="AU123" i="6"/>
  <c r="AU124" i="6" s="1"/>
  <c r="AQ123" i="6"/>
  <c r="AQ124" i="6" s="1"/>
  <c r="AM123" i="6"/>
  <c r="AM124" i="6" s="1"/>
  <c r="AI123" i="6"/>
  <c r="AI124" i="6" s="1"/>
  <c r="AE123" i="6"/>
  <c r="AE124" i="6" s="1"/>
  <c r="AA123" i="6"/>
  <c r="AA124" i="6" s="1"/>
  <c r="W123" i="6"/>
  <c r="W124" i="6" s="1"/>
  <c r="S123" i="6"/>
  <c r="S124" i="6" s="1"/>
  <c r="BI123" i="6"/>
  <c r="BI124" i="6" s="1"/>
  <c r="BA123" i="6"/>
  <c r="BA124" i="6" s="1"/>
  <c r="AS123" i="6"/>
  <c r="AS124" i="6" s="1"/>
  <c r="AK123" i="6"/>
  <c r="AK124" i="6" s="1"/>
  <c r="AC123" i="6"/>
  <c r="AC124" i="6" s="1"/>
  <c r="U123" i="6"/>
  <c r="U124" i="6" s="1"/>
  <c r="BH123" i="6"/>
  <c r="BH124" i="6" s="1"/>
  <c r="AZ123" i="6"/>
  <c r="AZ124" i="6" s="1"/>
  <c r="AR123" i="6"/>
  <c r="AR124" i="6" s="1"/>
  <c r="AJ123" i="6"/>
  <c r="AJ124" i="6" s="1"/>
  <c r="AB123" i="6"/>
  <c r="AB124" i="6" s="1"/>
  <c r="T123" i="6"/>
  <c r="T124" i="6" s="1"/>
  <c r="BN123" i="6"/>
  <c r="BN124" i="6" s="1"/>
  <c r="BJ123" i="6"/>
  <c r="BJ124" i="6" s="1"/>
  <c r="BF123" i="6"/>
  <c r="BF124" i="6" s="1"/>
  <c r="BB123" i="6"/>
  <c r="BB124" i="6" s="1"/>
  <c r="AX123" i="6"/>
  <c r="AX124" i="6" s="1"/>
  <c r="AT123" i="6"/>
  <c r="AT124" i="6" s="1"/>
  <c r="AP123" i="6"/>
  <c r="AP124" i="6" s="1"/>
  <c r="AL123" i="6"/>
  <c r="AL124" i="6" s="1"/>
  <c r="AH123" i="6"/>
  <c r="AH124" i="6" s="1"/>
  <c r="AD123" i="6"/>
  <c r="AD124" i="6" s="1"/>
  <c r="Z123" i="6"/>
  <c r="Z124" i="6" s="1"/>
  <c r="V123" i="6"/>
  <c r="V124" i="6" s="1"/>
  <c r="R123" i="6"/>
  <c r="BM123" i="6"/>
  <c r="BM124" i="6" s="1"/>
  <c r="BE123" i="6"/>
  <c r="BE124" i="6" s="1"/>
  <c r="AW123" i="6"/>
  <c r="AW124" i="6" s="1"/>
  <c r="AO123" i="6"/>
  <c r="AO124" i="6" s="1"/>
  <c r="AG123" i="6"/>
  <c r="AG124" i="6" s="1"/>
  <c r="Y123" i="6"/>
  <c r="Y124" i="6" s="1"/>
  <c r="BL123" i="6"/>
  <c r="BL124" i="6" s="1"/>
  <c r="BD123" i="6"/>
  <c r="BD124" i="6" s="1"/>
  <c r="AV123" i="6"/>
  <c r="AV124" i="6" s="1"/>
  <c r="AN123" i="6"/>
  <c r="AN124" i="6" s="1"/>
  <c r="AF123" i="6"/>
  <c r="AF124" i="6" s="1"/>
  <c r="X123" i="6"/>
  <c r="X124" i="6" s="1"/>
  <c r="BO68" i="6"/>
  <c r="BO69" i="6" s="1"/>
  <c r="BK68" i="6"/>
  <c r="BK69" i="6" s="1"/>
  <c r="BG68" i="6"/>
  <c r="BG69" i="6" s="1"/>
  <c r="BC68" i="6"/>
  <c r="BC69" i="6" s="1"/>
  <c r="AY68" i="6"/>
  <c r="AY69" i="6" s="1"/>
  <c r="AU68" i="6"/>
  <c r="AU69" i="6" s="1"/>
  <c r="AQ68" i="6"/>
  <c r="AQ69" i="6" s="1"/>
  <c r="AM68" i="6"/>
  <c r="AM69" i="6" s="1"/>
  <c r="AI68" i="6"/>
  <c r="AI69" i="6" s="1"/>
  <c r="AE68" i="6"/>
  <c r="AE69" i="6" s="1"/>
  <c r="AA68" i="6"/>
  <c r="AA69" i="6" s="1"/>
  <c r="W68" i="6"/>
  <c r="W69" i="6" s="1"/>
  <c r="S68" i="6"/>
  <c r="S69" i="6" s="1"/>
  <c r="BM68" i="6"/>
  <c r="BM69" i="6" s="1"/>
  <c r="BE68" i="6"/>
  <c r="BE69" i="6" s="1"/>
  <c r="AW68" i="6"/>
  <c r="AW69" i="6" s="1"/>
  <c r="AO68" i="6"/>
  <c r="AO69" i="6" s="1"/>
  <c r="AG68" i="6"/>
  <c r="AG69" i="6" s="1"/>
  <c r="Y68" i="6"/>
  <c r="Y69" i="6" s="1"/>
  <c r="BL68" i="6"/>
  <c r="BL69" i="6" s="1"/>
  <c r="BD68" i="6"/>
  <c r="BD69" i="6" s="1"/>
  <c r="AV68" i="6"/>
  <c r="AV69" i="6" s="1"/>
  <c r="AN68" i="6"/>
  <c r="AN69" i="6" s="1"/>
  <c r="AF68" i="6"/>
  <c r="AF69" i="6" s="1"/>
  <c r="X68" i="6"/>
  <c r="X69" i="6" s="1"/>
  <c r="BN68" i="6"/>
  <c r="BN69" i="6" s="1"/>
  <c r="BJ68" i="6"/>
  <c r="BJ69" i="6" s="1"/>
  <c r="BF68" i="6"/>
  <c r="BF69" i="6" s="1"/>
  <c r="BB68" i="6"/>
  <c r="BB69" i="6" s="1"/>
  <c r="AX68" i="6"/>
  <c r="AX69" i="6" s="1"/>
  <c r="AT68" i="6"/>
  <c r="AT69" i="6" s="1"/>
  <c r="AP68" i="6"/>
  <c r="AP69" i="6" s="1"/>
  <c r="AL68" i="6"/>
  <c r="AL69" i="6" s="1"/>
  <c r="AH68" i="6"/>
  <c r="AH69" i="6" s="1"/>
  <c r="AD68" i="6"/>
  <c r="AD69" i="6" s="1"/>
  <c r="Z68" i="6"/>
  <c r="Z69" i="6" s="1"/>
  <c r="V68" i="6"/>
  <c r="V69" i="6" s="1"/>
  <c r="R68" i="6"/>
  <c r="BI68" i="6"/>
  <c r="BI69" i="6" s="1"/>
  <c r="BA68" i="6"/>
  <c r="BA69" i="6" s="1"/>
  <c r="AS68" i="6"/>
  <c r="AS69" i="6" s="1"/>
  <c r="AK68" i="6"/>
  <c r="AK69" i="6" s="1"/>
  <c r="AC68" i="6"/>
  <c r="AC69" i="6" s="1"/>
  <c r="U68" i="6"/>
  <c r="U69" i="6" s="1"/>
  <c r="BH68" i="6"/>
  <c r="BH69" i="6" s="1"/>
  <c r="AZ68" i="6"/>
  <c r="AZ69" i="6" s="1"/>
  <c r="AR68" i="6"/>
  <c r="AR69" i="6" s="1"/>
  <c r="AJ68" i="6"/>
  <c r="AJ69" i="6" s="1"/>
  <c r="AB68" i="6"/>
  <c r="AB69" i="6" s="1"/>
  <c r="T68" i="6"/>
  <c r="T69" i="6" s="1"/>
  <c r="BL334" i="6"/>
  <c r="BL335" i="6" s="1"/>
  <c r="BH334" i="6"/>
  <c r="BH335" i="6" s="1"/>
  <c r="BD334" i="6"/>
  <c r="BD335" i="6" s="1"/>
  <c r="AZ334" i="6"/>
  <c r="AZ335" i="6" s="1"/>
  <c r="AV334" i="6"/>
  <c r="AV335" i="6" s="1"/>
  <c r="AR334" i="6"/>
  <c r="AR335" i="6" s="1"/>
  <c r="AN334" i="6"/>
  <c r="AN335" i="6" s="1"/>
  <c r="AJ334" i="6"/>
  <c r="AJ335" i="6" s="1"/>
  <c r="AF334" i="6"/>
  <c r="AF335" i="6" s="1"/>
  <c r="AB334" i="6"/>
  <c r="AB335" i="6" s="1"/>
  <c r="X334" i="6"/>
  <c r="X335" i="6" s="1"/>
  <c r="T334" i="6"/>
  <c r="T335" i="6" s="1"/>
  <c r="BM334" i="6"/>
  <c r="BM335" i="6" s="1"/>
  <c r="BI334" i="6"/>
  <c r="BI335" i="6" s="1"/>
  <c r="BE334" i="6"/>
  <c r="BE335" i="6" s="1"/>
  <c r="BA334" i="6"/>
  <c r="BA335" i="6" s="1"/>
  <c r="AW334" i="6"/>
  <c r="AW335" i="6" s="1"/>
  <c r="AS334" i="6"/>
  <c r="AS335" i="6" s="1"/>
  <c r="AO334" i="6"/>
  <c r="AO335" i="6" s="1"/>
  <c r="AK334" i="6"/>
  <c r="AK335" i="6" s="1"/>
  <c r="AG334" i="6"/>
  <c r="AG335" i="6" s="1"/>
  <c r="AC334" i="6"/>
  <c r="AC335" i="6" s="1"/>
  <c r="Y334" i="6"/>
  <c r="Y335" i="6" s="1"/>
  <c r="U334" i="6"/>
  <c r="U335" i="6" s="1"/>
  <c r="BK334" i="6"/>
  <c r="BK335" i="6" s="1"/>
  <c r="BC334" i="6"/>
  <c r="BC335" i="6" s="1"/>
  <c r="AU334" i="6"/>
  <c r="AU335" i="6" s="1"/>
  <c r="AM334" i="6"/>
  <c r="AM335" i="6" s="1"/>
  <c r="AE334" i="6"/>
  <c r="AE335" i="6" s="1"/>
  <c r="W334" i="6"/>
  <c r="W335" i="6" s="1"/>
  <c r="BJ334" i="6"/>
  <c r="BJ335" i="6" s="1"/>
  <c r="BB334" i="6"/>
  <c r="BB335" i="6" s="1"/>
  <c r="AT334" i="6"/>
  <c r="AT335" i="6" s="1"/>
  <c r="AL334" i="6"/>
  <c r="AL335" i="6" s="1"/>
  <c r="AD334" i="6"/>
  <c r="AD335" i="6" s="1"/>
  <c r="V334" i="6"/>
  <c r="V335" i="6" s="1"/>
  <c r="BN334" i="6"/>
  <c r="BN335" i="6" s="1"/>
  <c r="AX334" i="6"/>
  <c r="AX335" i="6" s="1"/>
  <c r="AH334" i="6"/>
  <c r="AH335" i="6" s="1"/>
  <c r="R334" i="6"/>
  <c r="R335" i="6" s="1"/>
  <c r="BF334" i="6"/>
  <c r="BF335" i="6" s="1"/>
  <c r="Z334" i="6"/>
  <c r="Z335" i="6" s="1"/>
  <c r="BO334" i="6"/>
  <c r="BO335" i="6" s="1"/>
  <c r="AI334" i="6"/>
  <c r="AI335" i="6" s="1"/>
  <c r="BG334" i="6"/>
  <c r="BG335" i="6" s="1"/>
  <c r="AQ334" i="6"/>
  <c r="AQ335" i="6" s="1"/>
  <c r="AA334" i="6"/>
  <c r="AA335" i="6" s="1"/>
  <c r="AP334" i="6"/>
  <c r="AP335" i="6" s="1"/>
  <c r="AY334" i="6"/>
  <c r="AY335" i="6" s="1"/>
  <c r="S334" i="6"/>
  <c r="S335" i="6" s="1"/>
  <c r="R354" i="6"/>
  <c r="AR360" i="6"/>
  <c r="AN360" i="6"/>
  <c r="AJ360" i="6"/>
  <c r="AF360" i="6"/>
  <c r="AB360" i="6"/>
  <c r="X360" i="6"/>
  <c r="T360" i="6"/>
  <c r="AS360" i="6"/>
  <c r="AO360" i="6"/>
  <c r="AK360" i="6"/>
  <c r="AG360" i="6"/>
  <c r="AC360" i="6"/>
  <c r="Y360" i="6"/>
  <c r="U360" i="6"/>
  <c r="AQ360" i="6"/>
  <c r="AI360" i="6"/>
  <c r="AA360" i="6"/>
  <c r="S360" i="6"/>
  <c r="AP360" i="6"/>
  <c r="AH360" i="6"/>
  <c r="Z360" i="6"/>
  <c r="R360" i="6"/>
  <c r="AM360" i="6"/>
  <c r="W360" i="6"/>
  <c r="AU360" i="6"/>
  <c r="AL360" i="6"/>
  <c r="V360" i="6"/>
  <c r="AE360" i="6"/>
  <c r="AT360" i="6"/>
  <c r="AD360" i="6"/>
  <c r="S364" i="6"/>
  <c r="R342" i="6"/>
  <c r="R364" i="6"/>
  <c r="R343" i="6"/>
  <c r="R323" i="6" s="1"/>
  <c r="R324" i="6" s="1"/>
  <c r="R330" i="6" s="1"/>
  <c r="R355" i="6" s="1"/>
  <c r="R362" i="6" s="1"/>
  <c r="S353" i="6" s="1"/>
  <c r="T364" i="6"/>
  <c r="U364" i="6"/>
  <c r="V364" i="6"/>
  <c r="W364" i="6"/>
  <c r="X364" i="6"/>
  <c r="Y364" i="6"/>
  <c r="Z364" i="6"/>
  <c r="AA364" i="6"/>
  <c r="AB364" i="6"/>
  <c r="AC364" i="6"/>
  <c r="AD364" i="6"/>
  <c r="AE364" i="6"/>
  <c r="AF364" i="6"/>
  <c r="AG364" i="6"/>
  <c r="AH364" i="6"/>
  <c r="AI364" i="6"/>
  <c r="AJ364" i="6"/>
  <c r="AY330" i="6"/>
  <c r="BO330" i="6"/>
  <c r="BN330" i="6"/>
  <c r="AW330" i="6"/>
  <c r="BM330" i="6"/>
  <c r="AZ330" i="6"/>
  <c r="AX330" i="6"/>
  <c r="BC330" i="6"/>
  <c r="BB330" i="6"/>
  <c r="AV330" i="6"/>
  <c r="BJ330" i="6"/>
  <c r="BA330" i="6"/>
  <c r="BD330" i="6"/>
  <c r="BG330" i="6"/>
  <c r="BE330" i="6"/>
  <c r="BH330" i="6"/>
  <c r="BF330" i="6"/>
  <c r="BK330" i="6"/>
  <c r="BI330" i="6"/>
  <c r="BL330" i="6"/>
  <c r="AK350" i="6"/>
  <c r="AL348" i="6" s="1"/>
  <c r="AK364" i="6"/>
  <c r="R163" i="6"/>
  <c r="R164" i="6" s="1"/>
  <c r="BO133" i="6"/>
  <c r="BO134" i="6" s="1"/>
  <c r="BO165" i="6" s="1"/>
  <c r="BN133" i="6"/>
  <c r="BN134" i="6" s="1"/>
  <c r="BN165" i="6" s="1"/>
  <c r="BM133" i="6"/>
  <c r="BM134" i="6" s="1"/>
  <c r="BM165" i="6" s="1"/>
  <c r="BL133" i="6"/>
  <c r="BL134" i="6" s="1"/>
  <c r="BL165" i="6" s="1"/>
  <c r="BK133" i="6"/>
  <c r="BK134" i="6" s="1"/>
  <c r="BK165" i="6" s="1"/>
  <c r="BJ133" i="6"/>
  <c r="BJ134" i="6" s="1"/>
  <c r="BJ165" i="6" s="1"/>
  <c r="BI133" i="6"/>
  <c r="BI134" i="6" s="1"/>
  <c r="BI165" i="6" s="1"/>
  <c r="BH133" i="6"/>
  <c r="BH134" i="6" s="1"/>
  <c r="BG133" i="6"/>
  <c r="BG134" i="6" s="1"/>
  <c r="BG165" i="6" s="1"/>
  <c r="BF133" i="6"/>
  <c r="BF134" i="6" s="1"/>
  <c r="BF165" i="6" s="1"/>
  <c r="BE133" i="6"/>
  <c r="BE134" i="6" s="1"/>
  <c r="BE165" i="6" s="1"/>
  <c r="BD133" i="6"/>
  <c r="BD134" i="6" s="1"/>
  <c r="BD165" i="6" s="1"/>
  <c r="BC133" i="6"/>
  <c r="BC134" i="6" s="1"/>
  <c r="BC165" i="6" s="1"/>
  <c r="BB133" i="6"/>
  <c r="BB134" i="6" s="1"/>
  <c r="BB165" i="6" s="1"/>
  <c r="BA133" i="6"/>
  <c r="BA134" i="6" s="1"/>
  <c r="BA165" i="6" s="1"/>
  <c r="AZ133" i="6"/>
  <c r="AZ134" i="6" s="1"/>
  <c r="AZ165" i="6" s="1"/>
  <c r="AY133" i="6"/>
  <c r="AY134" i="6" s="1"/>
  <c r="AY165" i="6" s="1"/>
  <c r="AX133" i="6"/>
  <c r="AX134" i="6" s="1"/>
  <c r="AX165" i="6" s="1"/>
  <c r="AW133" i="6"/>
  <c r="AW134" i="6" s="1"/>
  <c r="AW165" i="6" s="1"/>
  <c r="AV133" i="6"/>
  <c r="AV134" i="6" s="1"/>
  <c r="AV165" i="6" s="1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7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R359" i="6" l="1"/>
  <c r="R361" i="6" s="1"/>
  <c r="R331" i="6" s="1"/>
  <c r="S342" i="6"/>
  <c r="R344" i="6"/>
  <c r="R345" i="6" s="1"/>
  <c r="S341" i="6" s="1"/>
  <c r="S354" i="6"/>
  <c r="AL364" i="6"/>
  <c r="AL350" i="6"/>
  <c r="AM348" i="6" s="1"/>
  <c r="R160" i="6"/>
  <c r="S158" i="6" s="1"/>
  <c r="S172" i="6" s="1"/>
  <c r="S343" i="6" l="1"/>
  <c r="S323" i="6" s="1"/>
  <c r="S324" i="6" s="1"/>
  <c r="S330" i="6" s="1"/>
  <c r="S355" i="6" s="1"/>
  <c r="S362" i="6" s="1"/>
  <c r="T353" i="6" s="1"/>
  <c r="T342" i="6"/>
  <c r="AM364" i="6"/>
  <c r="AM350" i="6"/>
  <c r="AN348" i="6" s="1"/>
  <c r="S160" i="6"/>
  <c r="T158" i="6" s="1"/>
  <c r="T160" i="6" s="1"/>
  <c r="U158" i="6" s="1"/>
  <c r="F47" i="6"/>
  <c r="S344" i="6" l="1"/>
  <c r="S345" i="6" s="1"/>
  <c r="T341" i="6" s="1"/>
  <c r="T343" i="6" s="1"/>
  <c r="T354" i="6"/>
  <c r="U342" i="6"/>
  <c r="S359" i="6"/>
  <c r="S361" i="6" s="1"/>
  <c r="S331" i="6" s="1"/>
  <c r="AN350" i="6"/>
  <c r="AO348" i="6" s="1"/>
  <c r="AN364" i="6"/>
  <c r="T172" i="6"/>
  <c r="U160" i="6"/>
  <c r="V158" i="6" s="1"/>
  <c r="U172" i="6"/>
  <c r="BO84" i="6"/>
  <c r="BO85" i="6" s="1"/>
  <c r="BN84" i="6"/>
  <c r="BN85" i="6" s="1"/>
  <c r="BM84" i="6"/>
  <c r="BM85" i="6" s="1"/>
  <c r="BL84" i="6"/>
  <c r="BL85" i="6" s="1"/>
  <c r="BK84" i="6"/>
  <c r="BK85" i="6" s="1"/>
  <c r="BJ84" i="6"/>
  <c r="BJ85" i="6" s="1"/>
  <c r="BI84" i="6"/>
  <c r="BI85" i="6" s="1"/>
  <c r="BH84" i="6"/>
  <c r="BH85" i="6" s="1"/>
  <c r="BG84" i="6"/>
  <c r="BG85" i="6" s="1"/>
  <c r="BF84" i="6"/>
  <c r="BF85" i="6" s="1"/>
  <c r="BE84" i="6"/>
  <c r="BE85" i="6" s="1"/>
  <c r="BD84" i="6"/>
  <c r="BD85" i="6" s="1"/>
  <c r="BC84" i="6"/>
  <c r="BC85" i="6" s="1"/>
  <c r="BB84" i="6"/>
  <c r="BB85" i="6" s="1"/>
  <c r="BA84" i="6"/>
  <c r="BA85" i="6" s="1"/>
  <c r="AZ84" i="6"/>
  <c r="AZ85" i="6" s="1"/>
  <c r="AY84" i="6"/>
  <c r="AY85" i="6" s="1"/>
  <c r="AX84" i="6"/>
  <c r="AX85" i="6" s="1"/>
  <c r="AW84" i="6"/>
  <c r="AW85" i="6" s="1"/>
  <c r="AV84" i="6"/>
  <c r="AV85" i="6" s="1"/>
  <c r="AU84" i="6"/>
  <c r="AU85" i="6" s="1"/>
  <c r="AT84" i="6"/>
  <c r="AT85" i="6" s="1"/>
  <c r="AS84" i="6"/>
  <c r="AS85" i="6" s="1"/>
  <c r="AR84" i="6"/>
  <c r="AR85" i="6" s="1"/>
  <c r="AQ84" i="6"/>
  <c r="AQ85" i="6" s="1"/>
  <c r="AP84" i="6"/>
  <c r="AP85" i="6" s="1"/>
  <c r="AO84" i="6"/>
  <c r="AO85" i="6" s="1"/>
  <c r="AN84" i="6"/>
  <c r="AN85" i="6" s="1"/>
  <c r="AM84" i="6"/>
  <c r="AM85" i="6" s="1"/>
  <c r="AL84" i="6"/>
  <c r="AL85" i="6" s="1"/>
  <c r="AK84" i="6"/>
  <c r="AK85" i="6" s="1"/>
  <c r="AJ84" i="6"/>
  <c r="AJ85" i="6" s="1"/>
  <c r="AI84" i="6"/>
  <c r="AI85" i="6" s="1"/>
  <c r="AH84" i="6"/>
  <c r="AH85" i="6" s="1"/>
  <c r="AG84" i="6"/>
  <c r="AG85" i="6" s="1"/>
  <c r="AF84" i="6"/>
  <c r="AF85" i="6" s="1"/>
  <c r="AE84" i="6"/>
  <c r="AE85" i="6" s="1"/>
  <c r="AD84" i="6"/>
  <c r="AD85" i="6" s="1"/>
  <c r="AC84" i="6"/>
  <c r="AC85" i="6" s="1"/>
  <c r="AB84" i="6"/>
  <c r="AB85" i="6" s="1"/>
  <c r="AA84" i="6"/>
  <c r="AA85" i="6" s="1"/>
  <c r="Z84" i="6"/>
  <c r="Z85" i="6" s="1"/>
  <c r="Y84" i="6"/>
  <c r="Y85" i="6" s="1"/>
  <c r="X84" i="6"/>
  <c r="X85" i="6" s="1"/>
  <c r="W84" i="6"/>
  <c r="W85" i="6" s="1"/>
  <c r="V84" i="6"/>
  <c r="V85" i="6" s="1"/>
  <c r="U84" i="6"/>
  <c r="U85" i="6" s="1"/>
  <c r="T84" i="6"/>
  <c r="T85" i="6" s="1"/>
  <c r="S84" i="6"/>
  <c r="S85" i="6" s="1"/>
  <c r="R84" i="6"/>
  <c r="R85" i="6" s="1"/>
  <c r="T323" i="6" l="1"/>
  <c r="T324" i="6" s="1"/>
  <c r="T330" i="6" s="1"/>
  <c r="T355" i="6" s="1"/>
  <c r="T362" i="6" s="1"/>
  <c r="U353" i="6" s="1"/>
  <c r="U354" i="6" s="1"/>
  <c r="T344" i="6"/>
  <c r="T345" i="6" s="1"/>
  <c r="U341" i="6" s="1"/>
  <c r="U343" i="6" s="1"/>
  <c r="V342" i="6"/>
  <c r="AO350" i="6"/>
  <c r="AP348" i="6" s="1"/>
  <c r="AO364" i="6"/>
  <c r="V172" i="6"/>
  <c r="V160" i="6"/>
  <c r="W158" i="6" s="1"/>
  <c r="U323" i="6" l="1"/>
  <c r="U324" i="6" s="1"/>
  <c r="U330" i="6" s="1"/>
  <c r="U355" i="6" s="1"/>
  <c r="U362" i="6" s="1"/>
  <c r="V353" i="6" s="1"/>
  <c r="V354" i="6" s="1"/>
  <c r="U344" i="6"/>
  <c r="U345" i="6" s="1"/>
  <c r="V341" i="6" s="1"/>
  <c r="V343" i="6" s="1"/>
  <c r="V323" i="6" s="1"/>
  <c r="V324" i="6" s="1"/>
  <c r="V330" i="6" s="1"/>
  <c r="V355" i="6" s="1"/>
  <c r="T359" i="6"/>
  <c r="T361" i="6" s="1"/>
  <c r="T331" i="6" s="1"/>
  <c r="W342" i="6"/>
  <c r="AP364" i="6"/>
  <c r="AP350" i="6"/>
  <c r="AQ348" i="6" s="1"/>
  <c r="W172" i="6"/>
  <c r="W160" i="6"/>
  <c r="X158" i="6" s="1"/>
  <c r="V359" i="6" l="1"/>
  <c r="V361" i="6" s="1"/>
  <c r="V331" i="6" s="1"/>
  <c r="V344" i="6"/>
  <c r="V345" i="6" s="1"/>
  <c r="W341" i="6" s="1"/>
  <c r="W343" i="6" s="1"/>
  <c r="W323" i="6" s="1"/>
  <c r="W324" i="6" s="1"/>
  <c r="W330" i="6" s="1"/>
  <c r="W355" i="6" s="1"/>
  <c r="V362" i="6"/>
  <c r="W353" i="6" s="1"/>
  <c r="U359" i="6"/>
  <c r="U361" i="6" s="1"/>
  <c r="U331" i="6" s="1"/>
  <c r="X342" i="6"/>
  <c r="AQ364" i="6"/>
  <c r="AQ350" i="6"/>
  <c r="AR348" i="6" s="1"/>
  <c r="X160" i="6"/>
  <c r="Y158" i="6" s="1"/>
  <c r="X172" i="6"/>
  <c r="B14" i="3"/>
  <c r="B13" i="3"/>
  <c r="W362" i="6" l="1"/>
  <c r="X353" i="6" s="1"/>
  <c r="X354" i="6" s="1"/>
  <c r="W344" i="6"/>
  <c r="W345" i="6" s="1"/>
  <c r="X341" i="6" s="1"/>
  <c r="X343" i="6" s="1"/>
  <c r="X323" i="6" s="1"/>
  <c r="X324" i="6" s="1"/>
  <c r="X330" i="6" s="1"/>
  <c r="X355" i="6" s="1"/>
  <c r="W354" i="6"/>
  <c r="W359" i="6" s="1"/>
  <c r="W361" i="6" s="1"/>
  <c r="W331" i="6" s="1"/>
  <c r="Y342" i="6"/>
  <c r="AR350" i="6"/>
  <c r="AS348" i="6" s="1"/>
  <c r="AR364" i="6"/>
  <c r="Y160" i="6"/>
  <c r="Z158" i="6" s="1"/>
  <c r="Y172" i="6"/>
  <c r="X362" i="6" l="1"/>
  <c r="Y353" i="6" s="1"/>
  <c r="Y354" i="6" s="1"/>
  <c r="X344" i="6"/>
  <c r="X345" i="6" s="1"/>
  <c r="Y341" i="6" s="1"/>
  <c r="Y343" i="6" s="1"/>
  <c r="Y323" i="6" s="1"/>
  <c r="Y324" i="6" s="1"/>
  <c r="Y330" i="6" s="1"/>
  <c r="Y355" i="6" s="1"/>
  <c r="X359" i="6"/>
  <c r="X361" i="6" s="1"/>
  <c r="X331" i="6" s="1"/>
  <c r="Z342" i="6"/>
  <c r="AS350" i="6"/>
  <c r="AT348" i="6" s="1"/>
  <c r="AS364" i="6"/>
  <c r="Z172" i="6"/>
  <c r="Z160" i="6"/>
  <c r="AA158" i="6" s="1"/>
  <c r="Y362" i="6" l="1"/>
  <c r="Z353" i="6" s="1"/>
  <c r="Z354" i="6" s="1"/>
  <c r="Y359" i="6"/>
  <c r="Y361" i="6" s="1"/>
  <c r="Y331" i="6" s="1"/>
  <c r="Y344" i="6"/>
  <c r="Y345" i="6" s="1"/>
  <c r="Z341" i="6" s="1"/>
  <c r="Z343" i="6" s="1"/>
  <c r="Z323" i="6" s="1"/>
  <c r="Z324" i="6" s="1"/>
  <c r="Z330" i="6" s="1"/>
  <c r="Z355" i="6" s="1"/>
  <c r="AA342" i="6"/>
  <c r="AT364" i="6"/>
  <c r="AT350" i="6"/>
  <c r="AU348" i="6" s="1"/>
  <c r="AA172" i="6"/>
  <c r="AA160" i="6"/>
  <c r="AB158" i="6" s="1"/>
  <c r="Z362" i="6" l="1"/>
  <c r="AA353" i="6" s="1"/>
  <c r="AA354" i="6" s="1"/>
  <c r="Z359" i="6"/>
  <c r="Z361" i="6" s="1"/>
  <c r="Z331" i="6" s="1"/>
  <c r="Z344" i="6"/>
  <c r="Z345" i="6" s="1"/>
  <c r="AA341" i="6" s="1"/>
  <c r="AA343" i="6" s="1"/>
  <c r="AA323" i="6" s="1"/>
  <c r="AA324" i="6" s="1"/>
  <c r="AA330" i="6" s="1"/>
  <c r="AA355" i="6" s="1"/>
  <c r="AB342" i="6"/>
  <c r="AU364" i="6"/>
  <c r="AU349" i="6"/>
  <c r="AU350" i="6" s="1"/>
  <c r="AB160" i="6"/>
  <c r="AC158" i="6" s="1"/>
  <c r="AB172" i="6"/>
  <c r="H47" i="10"/>
  <c r="G47" i="10"/>
  <c r="AA362" i="6" l="1"/>
  <c r="AB353" i="6" s="1"/>
  <c r="AB354" i="6" s="1"/>
  <c r="AA344" i="6"/>
  <c r="AA345" i="6" s="1"/>
  <c r="AB341" i="6" s="1"/>
  <c r="AB343" i="6" s="1"/>
  <c r="AB323" i="6" s="1"/>
  <c r="AB324" i="6" s="1"/>
  <c r="AB330" i="6" s="1"/>
  <c r="AB355" i="6" s="1"/>
  <c r="AA359" i="6"/>
  <c r="AA361" i="6" s="1"/>
  <c r="AA331" i="6" s="1"/>
  <c r="AC342" i="6"/>
  <c r="AC160" i="6"/>
  <c r="AD158" i="6" s="1"/>
  <c r="AC172" i="6"/>
  <c r="F228" i="6"/>
  <c r="F229" i="6" s="1"/>
  <c r="E224" i="6"/>
  <c r="C221" i="6"/>
  <c r="AB362" i="6" l="1"/>
  <c r="AC353" i="6" s="1"/>
  <c r="AC354" i="6" s="1"/>
  <c r="AB344" i="6"/>
  <c r="AB345" i="6" s="1"/>
  <c r="AC341" i="6" s="1"/>
  <c r="AC343" i="6" s="1"/>
  <c r="AC323" i="6" s="1"/>
  <c r="AC324" i="6" s="1"/>
  <c r="AC330" i="6" s="1"/>
  <c r="AC355" i="6" s="1"/>
  <c r="AB359" i="6"/>
  <c r="AB361" i="6" s="1"/>
  <c r="AB331" i="6" s="1"/>
  <c r="Z247" i="6"/>
  <c r="T247" i="6"/>
  <c r="V247" i="6"/>
  <c r="X247" i="6"/>
  <c r="U247" i="6"/>
  <c r="S247" i="6"/>
  <c r="W247" i="6"/>
  <c r="Y247" i="6"/>
  <c r="AD342" i="6"/>
  <c r="AD172" i="6"/>
  <c r="AD160" i="6"/>
  <c r="AE158" i="6" s="1"/>
  <c r="F225" i="6"/>
  <c r="J191" i="6"/>
  <c r="U249" i="6" l="1"/>
  <c r="U271" i="6"/>
  <c r="Z249" i="6"/>
  <c r="Z271" i="6"/>
  <c r="Y249" i="6"/>
  <c r="Y271" i="6"/>
  <c r="X249" i="6"/>
  <c r="X271" i="6"/>
  <c r="W249" i="6"/>
  <c r="W271" i="6"/>
  <c r="V249" i="6"/>
  <c r="V271" i="6"/>
  <c r="S249" i="6"/>
  <c r="S271" i="6"/>
  <c r="T249" i="6"/>
  <c r="T271" i="6"/>
  <c r="AA237" i="6"/>
  <c r="AA247" i="6"/>
  <c r="AC362" i="6"/>
  <c r="AD353" i="6" s="1"/>
  <c r="AD354" i="6" s="1"/>
  <c r="AC359" i="6"/>
  <c r="AC361" i="6" s="1"/>
  <c r="AC331" i="6" s="1"/>
  <c r="AC344" i="6"/>
  <c r="AC345" i="6" s="1"/>
  <c r="AD341" i="6" s="1"/>
  <c r="AD343" i="6" s="1"/>
  <c r="AD323" i="6" s="1"/>
  <c r="AD324" i="6" s="1"/>
  <c r="AD330" i="6" s="1"/>
  <c r="AD355" i="6" s="1"/>
  <c r="W237" i="6"/>
  <c r="V237" i="6"/>
  <c r="S237" i="6"/>
  <c r="T237" i="6"/>
  <c r="U237" i="6"/>
  <c r="Z237" i="6"/>
  <c r="Y237" i="6"/>
  <c r="X237" i="6"/>
  <c r="AE342" i="6"/>
  <c r="AE172" i="6"/>
  <c r="AE160" i="6"/>
  <c r="AF158" i="6" s="1"/>
  <c r="F227" i="6"/>
  <c r="F226" i="6"/>
  <c r="F230" i="6" s="1"/>
  <c r="F231" i="6" s="1"/>
  <c r="G228" i="6" s="1"/>
  <c r="G229" i="6" s="1"/>
  <c r="AA249" i="6" l="1"/>
  <c r="AA271" i="6"/>
  <c r="AD359" i="6"/>
  <c r="AD361" i="6" s="1"/>
  <c r="AD331" i="6" s="1"/>
  <c r="AB237" i="6"/>
  <c r="AB247" i="6"/>
  <c r="AD362" i="6"/>
  <c r="AE353" i="6" s="1"/>
  <c r="AE354" i="6" s="1"/>
  <c r="AD344" i="6"/>
  <c r="AD345" i="6" s="1"/>
  <c r="AE341" i="6" s="1"/>
  <c r="AE343" i="6" s="1"/>
  <c r="AE323" i="6" s="1"/>
  <c r="AE324" i="6" s="1"/>
  <c r="AE330" i="6" s="1"/>
  <c r="AE355" i="6" s="1"/>
  <c r="AF342" i="6"/>
  <c r="AF160" i="6"/>
  <c r="AG158" i="6" s="1"/>
  <c r="AF172" i="6"/>
  <c r="AB249" i="6" l="1"/>
  <c r="AB271" i="6"/>
  <c r="AC237" i="6"/>
  <c r="AC247" i="6"/>
  <c r="AE362" i="6"/>
  <c r="AF353" i="6" s="1"/>
  <c r="AF354" i="6" s="1"/>
  <c r="AE359" i="6"/>
  <c r="AE361" i="6" s="1"/>
  <c r="AE331" i="6" s="1"/>
  <c r="AE344" i="6"/>
  <c r="AE345" i="6" s="1"/>
  <c r="AF341" i="6" s="1"/>
  <c r="AF343" i="6" s="1"/>
  <c r="AF323" i="6" s="1"/>
  <c r="AF324" i="6" s="1"/>
  <c r="AF330" i="6" s="1"/>
  <c r="AF355" i="6" s="1"/>
  <c r="AG342" i="6"/>
  <c r="AG160" i="6"/>
  <c r="AH158" i="6" s="1"/>
  <c r="AG172" i="6"/>
  <c r="G218" i="6"/>
  <c r="G221" i="6" s="1"/>
  <c r="AC249" i="6" l="1"/>
  <c r="AC271" i="6"/>
  <c r="AD237" i="6"/>
  <c r="AD247" i="6"/>
  <c r="AF362" i="6"/>
  <c r="AG353" i="6" s="1"/>
  <c r="AG354" i="6" s="1"/>
  <c r="AF344" i="6"/>
  <c r="AF345" i="6" s="1"/>
  <c r="AG341" i="6" s="1"/>
  <c r="AG343" i="6" s="1"/>
  <c r="AG323" i="6" s="1"/>
  <c r="AG324" i="6" s="1"/>
  <c r="AG330" i="6" s="1"/>
  <c r="AG355" i="6" s="1"/>
  <c r="AF359" i="6"/>
  <c r="AF361" i="6" s="1"/>
  <c r="AF331" i="6" s="1"/>
  <c r="AH342" i="6"/>
  <c r="AH172" i="6"/>
  <c r="AH160" i="6"/>
  <c r="AI158" i="6" s="1"/>
  <c r="H218" i="6"/>
  <c r="H221" i="6" s="1"/>
  <c r="G225" i="6"/>
  <c r="AD249" i="6" l="1"/>
  <c r="AD271" i="6"/>
  <c r="AE237" i="6"/>
  <c r="AE247" i="6"/>
  <c r="AG362" i="6"/>
  <c r="AH353" i="6" s="1"/>
  <c r="AH354" i="6" s="1"/>
  <c r="AG344" i="6"/>
  <c r="AG345" i="6" s="1"/>
  <c r="AH341" i="6" s="1"/>
  <c r="AH343" i="6" s="1"/>
  <c r="AH323" i="6" s="1"/>
  <c r="AH324" i="6" s="1"/>
  <c r="AH330" i="6" s="1"/>
  <c r="AH355" i="6" s="1"/>
  <c r="AG359" i="6"/>
  <c r="AG361" i="6" s="1"/>
  <c r="AG331" i="6" s="1"/>
  <c r="R247" i="6"/>
  <c r="R237" i="6"/>
  <c r="AI342" i="6"/>
  <c r="AI172" i="6"/>
  <c r="AI160" i="6"/>
  <c r="AJ158" i="6" s="1"/>
  <c r="G227" i="6"/>
  <c r="G226" i="6"/>
  <c r="G230" i="6" s="1"/>
  <c r="G231" i="6" s="1"/>
  <c r="H228" i="6" s="1"/>
  <c r="H229" i="6" s="1"/>
  <c r="I218" i="6"/>
  <c r="I221" i="6" s="1"/>
  <c r="H225" i="6"/>
  <c r="P247" i="6" l="1"/>
  <c r="R271" i="6"/>
  <c r="AE249" i="6"/>
  <c r="AE271" i="6"/>
  <c r="AF237" i="6"/>
  <c r="AF247" i="6"/>
  <c r="AH359" i="6"/>
  <c r="AH361" i="6" s="1"/>
  <c r="AH331" i="6" s="1"/>
  <c r="AH344" i="6"/>
  <c r="AH345" i="6" s="1"/>
  <c r="AI341" i="6" s="1"/>
  <c r="AI343" i="6" s="1"/>
  <c r="AI323" i="6" s="1"/>
  <c r="AI324" i="6" s="1"/>
  <c r="AI330" i="6" s="1"/>
  <c r="AI355" i="6" s="1"/>
  <c r="AH362" i="6"/>
  <c r="AI353" i="6" s="1"/>
  <c r="AI354" i="6" s="1"/>
  <c r="AJ342" i="6"/>
  <c r="AJ160" i="6"/>
  <c r="AK158" i="6" s="1"/>
  <c r="AJ172" i="6"/>
  <c r="J218" i="6"/>
  <c r="J221" i="6" s="1"/>
  <c r="I225" i="6"/>
  <c r="H226" i="6"/>
  <c r="H230" i="6" s="1"/>
  <c r="H231" i="6" s="1"/>
  <c r="I228" i="6" s="1"/>
  <c r="I229" i="6" s="1"/>
  <c r="H227" i="6"/>
  <c r="AF249" i="6" l="1"/>
  <c r="AF271" i="6"/>
  <c r="AG237" i="6"/>
  <c r="AG247" i="6"/>
  <c r="AI344" i="6"/>
  <c r="AI345" i="6" s="1"/>
  <c r="AJ341" i="6" s="1"/>
  <c r="AJ343" i="6" s="1"/>
  <c r="AJ323" i="6" s="1"/>
  <c r="AJ324" i="6" s="1"/>
  <c r="AJ330" i="6" s="1"/>
  <c r="AJ355" i="6" s="1"/>
  <c r="AI359" i="6"/>
  <c r="AI361" i="6" s="1"/>
  <c r="AI331" i="6" s="1"/>
  <c r="AI362" i="6"/>
  <c r="AJ353" i="6" s="1"/>
  <c r="AJ354" i="6" s="1"/>
  <c r="AK342" i="6"/>
  <c r="AK160" i="6"/>
  <c r="AL158" i="6" s="1"/>
  <c r="AK172" i="6"/>
  <c r="I227" i="6"/>
  <c r="I226" i="6"/>
  <c r="I230" i="6" s="1"/>
  <c r="K218" i="6"/>
  <c r="K221" i="6" s="1"/>
  <c r="J225" i="6"/>
  <c r="AG249" i="6" l="1"/>
  <c r="AG271" i="6"/>
  <c r="AH237" i="6"/>
  <c r="AH247" i="6"/>
  <c r="AJ344" i="6"/>
  <c r="AJ345" i="6" s="1"/>
  <c r="AK341" i="6" s="1"/>
  <c r="AK343" i="6" s="1"/>
  <c r="AK323" i="6" s="1"/>
  <c r="AK324" i="6" s="1"/>
  <c r="AK330" i="6" s="1"/>
  <c r="AK355" i="6" s="1"/>
  <c r="AJ359" i="6"/>
  <c r="AJ361" i="6" s="1"/>
  <c r="AJ331" i="6" s="1"/>
  <c r="AJ362" i="6"/>
  <c r="AK353" i="6" s="1"/>
  <c r="AK354" i="6" s="1"/>
  <c r="AL342" i="6"/>
  <c r="AL172" i="6"/>
  <c r="AL160" i="6"/>
  <c r="AM158" i="6" s="1"/>
  <c r="I231" i="6"/>
  <c r="J228" i="6" s="1"/>
  <c r="J229" i="6" s="1"/>
  <c r="J226" i="6"/>
  <c r="J230" i="6" s="1"/>
  <c r="J227" i="6"/>
  <c r="L218" i="6"/>
  <c r="L221" i="6" s="1"/>
  <c r="K225" i="6"/>
  <c r="AH249" i="6" l="1"/>
  <c r="AH271" i="6"/>
  <c r="AI237" i="6"/>
  <c r="AI247" i="6"/>
  <c r="AK344" i="6"/>
  <c r="AK345" i="6" s="1"/>
  <c r="AL341" i="6" s="1"/>
  <c r="AL343" i="6" s="1"/>
  <c r="AL323" i="6" s="1"/>
  <c r="AL324" i="6" s="1"/>
  <c r="AL330" i="6" s="1"/>
  <c r="AL355" i="6" s="1"/>
  <c r="AK359" i="6"/>
  <c r="AK361" i="6" s="1"/>
  <c r="AK331" i="6" s="1"/>
  <c r="AK362" i="6"/>
  <c r="AL353" i="6" s="1"/>
  <c r="AL354" i="6" s="1"/>
  <c r="AM342" i="6"/>
  <c r="AM172" i="6"/>
  <c r="AM160" i="6"/>
  <c r="AN158" i="6" s="1"/>
  <c r="J231" i="6"/>
  <c r="K228" i="6" s="1"/>
  <c r="K229" i="6" s="1"/>
  <c r="K226" i="6"/>
  <c r="K230" i="6" s="1"/>
  <c r="K227" i="6"/>
  <c r="M218" i="6"/>
  <c r="M221" i="6" s="1"/>
  <c r="L225" i="6"/>
  <c r="AI249" i="6" l="1"/>
  <c r="AI271" i="6"/>
  <c r="AJ237" i="6"/>
  <c r="AJ247" i="6"/>
  <c r="AL344" i="6"/>
  <c r="AL345" i="6" s="1"/>
  <c r="AM341" i="6" s="1"/>
  <c r="AM343" i="6" s="1"/>
  <c r="AM323" i="6" s="1"/>
  <c r="AM324" i="6" s="1"/>
  <c r="AM330" i="6" s="1"/>
  <c r="AM355" i="6" s="1"/>
  <c r="AL359" i="6"/>
  <c r="AL361" i="6" s="1"/>
  <c r="AL331" i="6" s="1"/>
  <c r="AL362" i="6"/>
  <c r="AM353" i="6" s="1"/>
  <c r="AM354" i="6" s="1"/>
  <c r="AN342" i="6"/>
  <c r="AN160" i="6"/>
  <c r="AO158" i="6" s="1"/>
  <c r="AN172" i="6"/>
  <c r="K231" i="6"/>
  <c r="L228" i="6" s="1"/>
  <c r="L229" i="6" s="1"/>
  <c r="N218" i="6"/>
  <c r="N221" i="6" s="1"/>
  <c r="M225" i="6"/>
  <c r="L226" i="6"/>
  <c r="L230" i="6" s="1"/>
  <c r="L227" i="6"/>
  <c r="AJ249" i="6" l="1"/>
  <c r="AJ271" i="6"/>
  <c r="AK237" i="6"/>
  <c r="AK247" i="6"/>
  <c r="AM344" i="6"/>
  <c r="AM345" i="6" s="1"/>
  <c r="AN341" i="6" s="1"/>
  <c r="AN343" i="6" s="1"/>
  <c r="AN323" i="6" s="1"/>
  <c r="AN324" i="6" s="1"/>
  <c r="AN330" i="6" s="1"/>
  <c r="AN355" i="6" s="1"/>
  <c r="AM359" i="6"/>
  <c r="AM361" i="6" s="1"/>
  <c r="AM331" i="6" s="1"/>
  <c r="AM362" i="6"/>
  <c r="AN353" i="6" s="1"/>
  <c r="AN354" i="6" s="1"/>
  <c r="AO342" i="6"/>
  <c r="AO160" i="6"/>
  <c r="AP158" i="6" s="1"/>
  <c r="AO172" i="6"/>
  <c r="L231" i="6"/>
  <c r="M228" i="6" s="1"/>
  <c r="M229" i="6" s="1"/>
  <c r="M227" i="6"/>
  <c r="M226" i="6"/>
  <c r="M230" i="6" s="1"/>
  <c r="O218" i="6"/>
  <c r="O221" i="6" s="1"/>
  <c r="N225" i="6"/>
  <c r="AK249" i="6" l="1"/>
  <c r="AK271" i="6"/>
  <c r="AL237" i="6"/>
  <c r="AL247" i="6"/>
  <c r="AN344" i="6"/>
  <c r="AN345" i="6" s="1"/>
  <c r="AO341" i="6" s="1"/>
  <c r="AO343" i="6" s="1"/>
  <c r="AO323" i="6" s="1"/>
  <c r="AO324" i="6" s="1"/>
  <c r="AO330" i="6" s="1"/>
  <c r="AO355" i="6" s="1"/>
  <c r="AN362" i="6"/>
  <c r="AO353" i="6" s="1"/>
  <c r="AO354" i="6" s="1"/>
  <c r="AN359" i="6"/>
  <c r="AN361" i="6" s="1"/>
  <c r="AN331" i="6" s="1"/>
  <c r="AP342" i="6"/>
  <c r="AQ342" i="6" s="1"/>
  <c r="AR342" i="6" s="1"/>
  <c r="AS342" i="6" s="1"/>
  <c r="AT342" i="6" s="1"/>
  <c r="AU342" i="6" s="1"/>
  <c r="AP172" i="6"/>
  <c r="AP160" i="6"/>
  <c r="AQ158" i="6" s="1"/>
  <c r="M231" i="6"/>
  <c r="N228" i="6" s="1"/>
  <c r="N229" i="6" s="1"/>
  <c r="N226" i="6"/>
  <c r="N230" i="6" s="1"/>
  <c r="N227" i="6"/>
  <c r="P218" i="6"/>
  <c r="P221" i="6" s="1"/>
  <c r="O225" i="6"/>
  <c r="AL249" i="6" l="1"/>
  <c r="AL271" i="6"/>
  <c r="AM237" i="6"/>
  <c r="AM247" i="6"/>
  <c r="AO359" i="6"/>
  <c r="AO361" i="6" s="1"/>
  <c r="AO331" i="6" s="1"/>
  <c r="AO344" i="6"/>
  <c r="AO345" i="6" s="1"/>
  <c r="AP341" i="6" s="1"/>
  <c r="AP343" i="6" s="1"/>
  <c r="AP323" i="6" s="1"/>
  <c r="AP324" i="6" s="1"/>
  <c r="AP330" i="6" s="1"/>
  <c r="AP355" i="6" s="1"/>
  <c r="AO362" i="6"/>
  <c r="AP353" i="6" s="1"/>
  <c r="AP354" i="6" s="1"/>
  <c r="AQ172" i="6"/>
  <c r="AQ160" i="6"/>
  <c r="AR158" i="6" s="1"/>
  <c r="N231" i="6"/>
  <c r="O228" i="6" s="1"/>
  <c r="O229" i="6" s="1"/>
  <c r="O227" i="6"/>
  <c r="O226" i="6"/>
  <c r="O230" i="6" s="1"/>
  <c r="Q218" i="6"/>
  <c r="Q221" i="6" s="1"/>
  <c r="P225" i="6"/>
  <c r="AM249" i="6" l="1"/>
  <c r="AM271" i="6"/>
  <c r="AN237" i="6"/>
  <c r="AN247" i="6"/>
  <c r="AP344" i="6"/>
  <c r="AP345" i="6" s="1"/>
  <c r="AQ341" i="6" s="1"/>
  <c r="AQ343" i="6" s="1"/>
  <c r="AQ323" i="6" s="1"/>
  <c r="AQ324" i="6" s="1"/>
  <c r="AP362" i="6"/>
  <c r="AQ353" i="6" s="1"/>
  <c r="AQ354" i="6" s="1"/>
  <c r="AP359" i="6"/>
  <c r="AP361" i="6" s="1"/>
  <c r="AP331" i="6" s="1"/>
  <c r="AR160" i="6"/>
  <c r="AS158" i="6" s="1"/>
  <c r="AR172" i="6"/>
  <c r="O231" i="6"/>
  <c r="P228" i="6" s="1"/>
  <c r="P229" i="6" s="1"/>
  <c r="P226" i="6"/>
  <c r="P230" i="6" s="1"/>
  <c r="P227" i="6"/>
  <c r="R218" i="6"/>
  <c r="R221" i="6" s="1"/>
  <c r="Q225" i="6"/>
  <c r="AN249" i="6" l="1"/>
  <c r="AN271" i="6"/>
  <c r="AO237" i="6"/>
  <c r="AO247" i="6"/>
  <c r="AQ344" i="6"/>
  <c r="AQ345" i="6" s="1"/>
  <c r="AR341" i="6" s="1"/>
  <c r="AR343" i="6" s="1"/>
  <c r="R249" i="6"/>
  <c r="AQ330" i="6"/>
  <c r="AQ355" i="6" s="1"/>
  <c r="AQ362" i="6" s="1"/>
  <c r="AR353" i="6" s="1"/>
  <c r="AS160" i="6"/>
  <c r="AT158" i="6" s="1"/>
  <c r="AS172" i="6"/>
  <c r="P231" i="6"/>
  <c r="Q228" i="6" s="1"/>
  <c r="Q229" i="6" s="1"/>
  <c r="Q227" i="6"/>
  <c r="Q226" i="6"/>
  <c r="Q230" i="6" s="1"/>
  <c r="S218" i="6"/>
  <c r="S221" i="6" s="1"/>
  <c r="P249" i="6" l="1"/>
  <c r="AO249" i="6"/>
  <c r="AO271" i="6"/>
  <c r="AP237" i="6"/>
  <c r="AP247" i="6"/>
  <c r="AQ359" i="6"/>
  <c r="AQ361" i="6" s="1"/>
  <c r="AQ331" i="6" s="1"/>
  <c r="AR354" i="6"/>
  <c r="AR323" i="6"/>
  <c r="AR324" i="6" s="1"/>
  <c r="AR344" i="6"/>
  <c r="AR345" i="6" s="1"/>
  <c r="AS341" i="6" s="1"/>
  <c r="AT172" i="6"/>
  <c r="AT160" i="6"/>
  <c r="AU158" i="6" s="1"/>
  <c r="Q231" i="6"/>
  <c r="Q232" i="6" s="1"/>
  <c r="R225" i="6"/>
  <c r="R227" i="6" s="1"/>
  <c r="T218" i="6"/>
  <c r="T221" i="6" s="1"/>
  <c r="Q233" i="6" l="1"/>
  <c r="R285" i="6" s="1"/>
  <c r="R232" i="6"/>
  <c r="AP249" i="6"/>
  <c r="AP271" i="6"/>
  <c r="AQ237" i="6"/>
  <c r="AQ247" i="6"/>
  <c r="R275" i="6"/>
  <c r="P275" i="6" s="1"/>
  <c r="AS343" i="6"/>
  <c r="AR330" i="6"/>
  <c r="AR355" i="6" s="1"/>
  <c r="AU172" i="6"/>
  <c r="AU159" i="6"/>
  <c r="AU160" i="6" s="1"/>
  <c r="R226" i="6"/>
  <c r="S225" i="6"/>
  <c r="S226" i="6" s="1"/>
  <c r="U218" i="6"/>
  <c r="U221" i="6" s="1"/>
  <c r="AQ249" i="6" l="1"/>
  <c r="AQ271" i="6"/>
  <c r="R253" i="6"/>
  <c r="P253" i="6" s="1"/>
  <c r="AR237" i="6"/>
  <c r="AR247" i="6"/>
  <c r="R287" i="6"/>
  <c r="S285" i="6" s="1"/>
  <c r="S253" i="6" s="1"/>
  <c r="R302" i="6"/>
  <c r="R277" i="6"/>
  <c r="R276" i="6"/>
  <c r="P276" i="6" s="1"/>
  <c r="AR362" i="6"/>
  <c r="AS353" i="6" s="1"/>
  <c r="AR359" i="6"/>
  <c r="AR361" i="6" s="1"/>
  <c r="AR331" i="6" s="1"/>
  <c r="AS323" i="6"/>
  <c r="AS324" i="6" s="1"/>
  <c r="AS344" i="6"/>
  <c r="AS345" i="6" s="1"/>
  <c r="AT341" i="6" s="1"/>
  <c r="S227" i="6"/>
  <c r="T225" i="6"/>
  <c r="T227" i="6" s="1"/>
  <c r="V218" i="6"/>
  <c r="V221" i="6" s="1"/>
  <c r="AR249" i="6" l="1"/>
  <c r="AR271" i="6"/>
  <c r="AS237" i="6"/>
  <c r="AS247" i="6"/>
  <c r="R278" i="6"/>
  <c r="R279" i="6" s="1"/>
  <c r="R295" i="6" s="1"/>
  <c r="R252" i="6"/>
  <c r="S287" i="6"/>
  <c r="T285" i="6" s="1"/>
  <c r="T253" i="6" s="1"/>
  <c r="S302" i="6"/>
  <c r="AS330" i="6"/>
  <c r="AS355" i="6" s="1"/>
  <c r="AS354" i="6"/>
  <c r="AT343" i="6"/>
  <c r="T226" i="6"/>
  <c r="U225" i="6"/>
  <c r="U227" i="6" s="1"/>
  <c r="W218" i="6"/>
  <c r="W221" i="6" s="1"/>
  <c r="AS249" i="6" l="1"/>
  <c r="AS271" i="6"/>
  <c r="R254" i="6"/>
  <c r="P252" i="6"/>
  <c r="AT237" i="6"/>
  <c r="AT247" i="6"/>
  <c r="T287" i="6"/>
  <c r="U285" i="6" s="1"/>
  <c r="U253" i="6" s="1"/>
  <c r="T302" i="6"/>
  <c r="AS359" i="6"/>
  <c r="AS361" i="6" s="1"/>
  <c r="AS331" i="6" s="1"/>
  <c r="AS362" i="6"/>
  <c r="AT353" i="6" s="1"/>
  <c r="AT354" i="6" s="1"/>
  <c r="AT323" i="6"/>
  <c r="AT324" i="6" s="1"/>
  <c r="AT344" i="6"/>
  <c r="AT345" i="6" s="1"/>
  <c r="AU341" i="6" s="1"/>
  <c r="U226" i="6"/>
  <c r="V225" i="6"/>
  <c r="V226" i="6" s="1"/>
  <c r="X218" i="6"/>
  <c r="X221" i="6" s="1"/>
  <c r="P254" i="6" l="1"/>
  <c r="R255" i="6"/>
  <c r="R257" i="6" s="1"/>
  <c r="P257" i="6" s="1"/>
  <c r="AT249" i="6"/>
  <c r="AT271" i="6"/>
  <c r="AU247" i="6"/>
  <c r="U287" i="6"/>
  <c r="V285" i="6" s="1"/>
  <c r="V253" i="6" s="1"/>
  <c r="U302" i="6"/>
  <c r="AU343" i="6"/>
  <c r="AT330" i="6"/>
  <c r="AT355" i="6" s="1"/>
  <c r="V227" i="6"/>
  <c r="W225" i="6"/>
  <c r="W227" i="6" s="1"/>
  <c r="Y218" i="6"/>
  <c r="Y221" i="6" s="1"/>
  <c r="AU249" i="6" l="1"/>
  <c r="AU271" i="6"/>
  <c r="R260" i="6"/>
  <c r="AU237" i="6"/>
  <c r="V287" i="6"/>
  <c r="W285" i="6" s="1"/>
  <c r="W253" i="6" s="1"/>
  <c r="V302" i="6"/>
  <c r="AT359" i="6"/>
  <c r="AT361" i="6" s="1"/>
  <c r="AT331" i="6" s="1"/>
  <c r="AT362" i="6"/>
  <c r="AU353" i="6" s="1"/>
  <c r="AU323" i="6"/>
  <c r="AU324" i="6" s="1"/>
  <c r="AU344" i="6"/>
  <c r="AU345" i="6" s="1"/>
  <c r="W226" i="6"/>
  <c r="X225" i="6"/>
  <c r="X226" i="6" s="1"/>
  <c r="Z218" i="6"/>
  <c r="Z221" i="6" s="1"/>
  <c r="W287" i="6" l="1"/>
  <c r="X285" i="6" s="1"/>
  <c r="X253" i="6" s="1"/>
  <c r="W302" i="6"/>
  <c r="AU354" i="6"/>
  <c r="AU330" i="6"/>
  <c r="AU355" i="6" s="1"/>
  <c r="AU362" i="6" s="1"/>
  <c r="X227" i="6"/>
  <c r="Y225" i="6"/>
  <c r="Y227" i="6" s="1"/>
  <c r="AA218" i="6"/>
  <c r="AA221" i="6" s="1"/>
  <c r="X287" i="6" l="1"/>
  <c r="Y285" i="6" s="1"/>
  <c r="Y253" i="6" s="1"/>
  <c r="X302" i="6"/>
  <c r="AU359" i="6"/>
  <c r="AU361" i="6" s="1"/>
  <c r="AU331" i="6" s="1"/>
  <c r="Y226" i="6"/>
  <c r="Z225" i="6"/>
  <c r="Z226" i="6" s="1"/>
  <c r="AB218" i="6"/>
  <c r="AB221" i="6" s="1"/>
  <c r="Y287" i="6" l="1"/>
  <c r="Z285" i="6" s="1"/>
  <c r="Z253" i="6" s="1"/>
  <c r="Y302" i="6"/>
  <c r="Z227" i="6"/>
  <c r="AA225" i="6"/>
  <c r="AA227" i="6" s="1"/>
  <c r="AC218" i="6"/>
  <c r="AC221" i="6" s="1"/>
  <c r="Z287" i="6" l="1"/>
  <c r="AA285" i="6" s="1"/>
  <c r="AA253" i="6" s="1"/>
  <c r="Z302" i="6"/>
  <c r="AA226" i="6"/>
  <c r="AB225" i="6"/>
  <c r="AB226" i="6" s="1"/>
  <c r="AD218" i="6"/>
  <c r="AD221" i="6" s="1"/>
  <c r="AA287" i="6" l="1"/>
  <c r="AB285" i="6" s="1"/>
  <c r="AB253" i="6" s="1"/>
  <c r="AA302" i="6"/>
  <c r="AB227" i="6"/>
  <c r="AC225" i="6"/>
  <c r="AC227" i="6" s="1"/>
  <c r="AE218" i="6"/>
  <c r="AE221" i="6" s="1"/>
  <c r="AB287" i="6" l="1"/>
  <c r="AC285" i="6" s="1"/>
  <c r="AC253" i="6" s="1"/>
  <c r="AB302" i="6"/>
  <c r="AC226" i="6"/>
  <c r="AD225" i="6"/>
  <c r="AD226" i="6" s="1"/>
  <c r="AF218" i="6"/>
  <c r="AF221" i="6" s="1"/>
  <c r="AC287" i="6" l="1"/>
  <c r="AD285" i="6" s="1"/>
  <c r="AD253" i="6" s="1"/>
  <c r="AC302" i="6"/>
  <c r="AD227" i="6"/>
  <c r="AE225" i="6"/>
  <c r="AE226" i="6" s="1"/>
  <c r="AG218" i="6"/>
  <c r="AG221" i="6" s="1"/>
  <c r="AD287" i="6" l="1"/>
  <c r="AE285" i="6" s="1"/>
  <c r="AE253" i="6" s="1"/>
  <c r="AD302" i="6"/>
  <c r="AE227" i="6"/>
  <c r="AF225" i="6"/>
  <c r="AF227" i="6" s="1"/>
  <c r="AH218" i="6"/>
  <c r="AH221" i="6" s="1"/>
  <c r="AE287" i="6" l="1"/>
  <c r="AF285" i="6" s="1"/>
  <c r="AF253" i="6" s="1"/>
  <c r="AE302" i="6"/>
  <c r="AF226" i="6"/>
  <c r="AG225" i="6"/>
  <c r="AG227" i="6" s="1"/>
  <c r="AI218" i="6"/>
  <c r="AI221" i="6" s="1"/>
  <c r="AF287" i="6" l="1"/>
  <c r="AG285" i="6" s="1"/>
  <c r="AG253" i="6" s="1"/>
  <c r="AF302" i="6"/>
  <c r="AG226" i="6"/>
  <c r="AH225" i="6"/>
  <c r="AH227" i="6" s="1"/>
  <c r="AJ218" i="6"/>
  <c r="AJ221" i="6" s="1"/>
  <c r="AG287" i="6" l="1"/>
  <c r="AH285" i="6" s="1"/>
  <c r="AH253" i="6" s="1"/>
  <c r="AG302" i="6"/>
  <c r="AH226" i="6"/>
  <c r="AI225" i="6"/>
  <c r="AI227" i="6" s="1"/>
  <c r="AK218" i="6"/>
  <c r="AK221" i="6" s="1"/>
  <c r="AH287" i="6" l="1"/>
  <c r="AI285" i="6" s="1"/>
  <c r="AI253" i="6" s="1"/>
  <c r="AH302" i="6"/>
  <c r="AI226" i="6"/>
  <c r="AJ225" i="6"/>
  <c r="AJ227" i="6" s="1"/>
  <c r="AL218" i="6"/>
  <c r="AL221" i="6" s="1"/>
  <c r="AI287" i="6" l="1"/>
  <c r="AJ285" i="6" s="1"/>
  <c r="AJ253" i="6" s="1"/>
  <c r="AI302" i="6"/>
  <c r="AJ226" i="6"/>
  <c r="AK225" i="6"/>
  <c r="AK227" i="6" s="1"/>
  <c r="AM218" i="6"/>
  <c r="AM221" i="6" s="1"/>
  <c r="AJ287" i="6" l="1"/>
  <c r="AK285" i="6" s="1"/>
  <c r="AK253" i="6" s="1"/>
  <c r="AJ302" i="6"/>
  <c r="AK226" i="6"/>
  <c r="AL225" i="6"/>
  <c r="AL227" i="6" s="1"/>
  <c r="AN218" i="6"/>
  <c r="AN221" i="6" s="1"/>
  <c r="AK287" i="6" l="1"/>
  <c r="AL285" i="6" s="1"/>
  <c r="AL253" i="6" s="1"/>
  <c r="AK302" i="6"/>
  <c r="AL226" i="6"/>
  <c r="AM225" i="6"/>
  <c r="AM227" i="6" s="1"/>
  <c r="AO218" i="6"/>
  <c r="AO221" i="6" s="1"/>
  <c r="AL302" i="6" l="1"/>
  <c r="AL287" i="6"/>
  <c r="AM285" i="6" s="1"/>
  <c r="AM253" i="6" s="1"/>
  <c r="AM226" i="6"/>
  <c r="AN225" i="6"/>
  <c r="AN227" i="6" s="1"/>
  <c r="AP218" i="6"/>
  <c r="AP221" i="6" s="1"/>
  <c r="AM287" i="6" l="1"/>
  <c r="AN285" i="6" s="1"/>
  <c r="AN253" i="6" s="1"/>
  <c r="AM302" i="6"/>
  <c r="AN226" i="6"/>
  <c r="AO225" i="6"/>
  <c r="AO227" i="6" s="1"/>
  <c r="AQ218" i="6"/>
  <c r="AQ221" i="6" s="1"/>
  <c r="AN287" i="6" l="1"/>
  <c r="AO285" i="6" s="1"/>
  <c r="AO253" i="6" s="1"/>
  <c r="AN302" i="6"/>
  <c r="AO226" i="6"/>
  <c r="AP225" i="6"/>
  <c r="AP226" i="6" s="1"/>
  <c r="AR218" i="6"/>
  <c r="AR221" i="6" s="1"/>
  <c r="AO302" i="6" l="1"/>
  <c r="AO287" i="6"/>
  <c r="AP285" i="6" s="1"/>
  <c r="AP253" i="6" s="1"/>
  <c r="AP227" i="6"/>
  <c r="AQ225" i="6"/>
  <c r="AQ226" i="6" s="1"/>
  <c r="AS218" i="6"/>
  <c r="AS221" i="6" s="1"/>
  <c r="AP302" i="6" l="1"/>
  <c r="AP287" i="6"/>
  <c r="AQ285" i="6" s="1"/>
  <c r="AQ253" i="6" s="1"/>
  <c r="AQ227" i="6"/>
  <c r="AR225" i="6"/>
  <c r="AR227" i="6" s="1"/>
  <c r="AT218" i="6"/>
  <c r="AT221" i="6" s="1"/>
  <c r="AQ287" i="6" l="1"/>
  <c r="AR285" i="6" s="1"/>
  <c r="AR253" i="6" s="1"/>
  <c r="AQ302" i="6"/>
  <c r="AR226" i="6"/>
  <c r="AS225" i="6"/>
  <c r="AS227" i="6" s="1"/>
  <c r="AU218" i="6"/>
  <c r="AU221" i="6" s="1"/>
  <c r="AR302" i="6" l="1"/>
  <c r="AR287" i="6"/>
  <c r="AS285" i="6" s="1"/>
  <c r="AS253" i="6" s="1"/>
  <c r="AS226" i="6"/>
  <c r="AT225" i="6"/>
  <c r="AT226" i="6" s="1"/>
  <c r="AV218" i="6"/>
  <c r="AV221" i="6" s="1"/>
  <c r="AS287" i="6" l="1"/>
  <c r="AT285" i="6" s="1"/>
  <c r="AT253" i="6" s="1"/>
  <c r="AS302" i="6"/>
  <c r="AT227" i="6"/>
  <c r="AU225" i="6"/>
  <c r="AU226" i="6" s="1"/>
  <c r="AW218" i="6"/>
  <c r="AW221" i="6" s="1"/>
  <c r="AT287" i="6" l="1"/>
  <c r="AU285" i="6" s="1"/>
  <c r="AU253" i="6" s="1"/>
  <c r="AT302" i="6"/>
  <c r="AU227" i="6"/>
  <c r="AX218" i="6"/>
  <c r="AX221" i="6" s="1"/>
  <c r="AU286" i="6" l="1"/>
  <c r="AU287" i="6" s="1"/>
  <c r="AU302" i="6"/>
  <c r="AY218" i="6"/>
  <c r="AY221" i="6" s="1"/>
  <c r="AZ218" i="6" l="1"/>
  <c r="AZ221" i="6" s="1"/>
  <c r="BA218" i="6" l="1"/>
  <c r="BA221" i="6" s="1"/>
  <c r="BB218" i="6" l="1"/>
  <c r="BB221" i="6" s="1"/>
  <c r="BC218" i="6" l="1"/>
  <c r="BC221" i="6" s="1"/>
  <c r="BD218" i="6" l="1"/>
  <c r="BD221" i="6" s="1"/>
  <c r="BE218" i="6" l="1"/>
  <c r="BE221" i="6" s="1"/>
  <c r="R144" i="6" l="1"/>
  <c r="R145" i="6" s="1"/>
  <c r="BO144" i="6"/>
  <c r="BO145" i="6" s="1"/>
  <c r="BN144" i="6"/>
  <c r="BN145" i="6" s="1"/>
  <c r="BM144" i="6"/>
  <c r="BM145" i="6" s="1"/>
  <c r="BL144" i="6"/>
  <c r="BL145" i="6" s="1"/>
  <c r="BK144" i="6"/>
  <c r="BK145" i="6" s="1"/>
  <c r="BJ144" i="6"/>
  <c r="BJ145" i="6" s="1"/>
  <c r="BI144" i="6"/>
  <c r="BI145" i="6" s="1"/>
  <c r="BH144" i="6"/>
  <c r="BH145" i="6" s="1"/>
  <c r="BG144" i="6"/>
  <c r="BG145" i="6" s="1"/>
  <c r="BF144" i="6"/>
  <c r="BF145" i="6" s="1"/>
  <c r="BE144" i="6"/>
  <c r="BE145" i="6" s="1"/>
  <c r="BD144" i="6"/>
  <c r="BD145" i="6" s="1"/>
  <c r="BC144" i="6"/>
  <c r="BC145" i="6" s="1"/>
  <c r="BB144" i="6"/>
  <c r="BB145" i="6" s="1"/>
  <c r="BA144" i="6"/>
  <c r="BA145" i="6" s="1"/>
  <c r="AZ144" i="6"/>
  <c r="AZ145" i="6" s="1"/>
  <c r="AY144" i="6"/>
  <c r="AY145" i="6" s="1"/>
  <c r="AX144" i="6"/>
  <c r="AX145" i="6" s="1"/>
  <c r="AW144" i="6"/>
  <c r="AW145" i="6" s="1"/>
  <c r="AV144" i="6"/>
  <c r="AV145" i="6" s="1"/>
  <c r="AU144" i="6"/>
  <c r="AU145" i="6" s="1"/>
  <c r="AT144" i="6"/>
  <c r="AT145" i="6" s="1"/>
  <c r="AS144" i="6"/>
  <c r="AS145" i="6" s="1"/>
  <c r="AR144" i="6"/>
  <c r="AR145" i="6" s="1"/>
  <c r="AQ144" i="6"/>
  <c r="AQ145" i="6" s="1"/>
  <c r="AP144" i="6"/>
  <c r="AP145" i="6" s="1"/>
  <c r="AO144" i="6"/>
  <c r="AO145" i="6" s="1"/>
  <c r="AN144" i="6"/>
  <c r="AN145" i="6" s="1"/>
  <c r="AM144" i="6"/>
  <c r="AM145" i="6" s="1"/>
  <c r="AL144" i="6"/>
  <c r="AL145" i="6" s="1"/>
  <c r="AK144" i="6"/>
  <c r="AK145" i="6" s="1"/>
  <c r="AJ144" i="6"/>
  <c r="AJ145" i="6" s="1"/>
  <c r="AI144" i="6"/>
  <c r="AI145" i="6" s="1"/>
  <c r="AH144" i="6"/>
  <c r="AH145" i="6" s="1"/>
  <c r="AG144" i="6"/>
  <c r="AG145" i="6" s="1"/>
  <c r="AF144" i="6"/>
  <c r="AF145" i="6" s="1"/>
  <c r="AE144" i="6"/>
  <c r="AE145" i="6" s="1"/>
  <c r="AD144" i="6"/>
  <c r="AD145" i="6" s="1"/>
  <c r="AC144" i="6"/>
  <c r="AC145" i="6" s="1"/>
  <c r="AB144" i="6"/>
  <c r="AB145" i="6" s="1"/>
  <c r="AA144" i="6"/>
  <c r="AA145" i="6" s="1"/>
  <c r="Z144" i="6"/>
  <c r="Z145" i="6" s="1"/>
  <c r="Y144" i="6"/>
  <c r="Y145" i="6" s="1"/>
  <c r="X144" i="6"/>
  <c r="X145" i="6" s="1"/>
  <c r="W144" i="6"/>
  <c r="W145" i="6" s="1"/>
  <c r="V144" i="6"/>
  <c r="V145" i="6" s="1"/>
  <c r="U144" i="6"/>
  <c r="U145" i="6" s="1"/>
  <c r="T144" i="6"/>
  <c r="T145" i="6" s="1"/>
  <c r="S144" i="6"/>
  <c r="S145" i="6" s="1"/>
  <c r="S42" i="6" l="1"/>
  <c r="T42" i="6" s="1"/>
  <c r="E51" i="6"/>
  <c r="H8" i="3" l="1"/>
  <c r="K11" i="6" l="1"/>
  <c r="H91" i="8" l="1"/>
  <c r="F93" i="8"/>
  <c r="H93" i="8" s="1"/>
  <c r="F87" i="8"/>
  <c r="F88" i="8"/>
  <c r="F92" i="8"/>
  <c r="G112" i="8"/>
  <c r="G110" i="8"/>
  <c r="G109" i="8"/>
  <c r="G108" i="8"/>
  <c r="F99" i="8"/>
  <c r="H99" i="8" s="1"/>
  <c r="F98" i="8"/>
  <c r="H98" i="8" s="1"/>
  <c r="F82" i="8"/>
  <c r="F81" i="8"/>
  <c r="F80" i="8"/>
  <c r="G79" i="8"/>
  <c r="F74" i="8"/>
  <c r="F73" i="8"/>
  <c r="G81" i="8" s="1"/>
  <c r="F72" i="8"/>
  <c r="E14" i="7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U42" i="6"/>
  <c r="V42" i="6" s="1"/>
  <c r="W42" i="6" s="1"/>
  <c r="X42" i="6" s="1"/>
  <c r="Y42" i="6" s="1"/>
  <c r="Z42" i="6" s="1"/>
  <c r="AA42" i="6" s="1"/>
  <c r="AB42" i="6" s="1"/>
  <c r="AC42" i="6" s="1"/>
  <c r="AD42" i="6" s="1"/>
  <c r="AE42" i="6" s="1"/>
  <c r="AF42" i="6" s="1"/>
  <c r="AG42" i="6" s="1"/>
  <c r="AH42" i="6" s="1"/>
  <c r="AI42" i="6" s="1"/>
  <c r="AJ42" i="6" s="1"/>
  <c r="AK42" i="6" s="1"/>
  <c r="AL42" i="6" s="1"/>
  <c r="AM42" i="6" s="1"/>
  <c r="AN42" i="6" s="1"/>
  <c r="AO42" i="6" s="1"/>
  <c r="AP42" i="6" s="1"/>
  <c r="AQ42" i="6" s="1"/>
  <c r="AR42" i="6" s="1"/>
  <c r="AS42" i="6" s="1"/>
  <c r="AT42" i="6" s="1"/>
  <c r="AU42" i="6" s="1"/>
  <c r="AV42" i="6" s="1"/>
  <c r="AW42" i="6" s="1"/>
  <c r="AX42" i="6" s="1"/>
  <c r="AY42" i="6" s="1"/>
  <c r="AZ42" i="6" s="1"/>
  <c r="BA42" i="6" s="1"/>
  <c r="BB42" i="6" s="1"/>
  <c r="BC42" i="6" s="1"/>
  <c r="BD42" i="6" s="1"/>
  <c r="BE42" i="6" s="1"/>
  <c r="BF42" i="6" s="1"/>
  <c r="BG42" i="6" s="1"/>
  <c r="BH42" i="6" s="1"/>
  <c r="BI42" i="6" s="1"/>
  <c r="BJ42" i="6" s="1"/>
  <c r="BK42" i="6" s="1"/>
  <c r="BL42" i="6" s="1"/>
  <c r="BM42" i="6" s="1"/>
  <c r="BN42" i="6" s="1"/>
  <c r="BO42" i="6" s="1"/>
  <c r="F56" i="6"/>
  <c r="F57" i="6" s="1"/>
  <c r="H81" i="8" l="1"/>
  <c r="G82" i="8"/>
  <c r="E74" i="8"/>
  <c r="H82" i="8"/>
  <c r="H80" i="8"/>
  <c r="I81" i="8" s="1"/>
  <c r="G80" i="8"/>
  <c r="G111" i="8"/>
  <c r="H92" i="8"/>
  <c r="G44" i="6"/>
  <c r="I201" i="6" l="1"/>
  <c r="E21" i="6"/>
  <c r="D26" i="15" s="1"/>
  <c r="H110" i="8"/>
  <c r="G113" i="8"/>
  <c r="G115" i="8" s="1"/>
  <c r="H109" i="8"/>
  <c r="H108" i="8"/>
  <c r="F53" i="6"/>
  <c r="H44" i="6"/>
  <c r="G47" i="6"/>
  <c r="BO147" i="6" l="1"/>
  <c r="BK147" i="6"/>
  <c r="BG147" i="6"/>
  <c r="BC147" i="6"/>
  <c r="AY147" i="6"/>
  <c r="AU147" i="6"/>
  <c r="AQ147" i="6"/>
  <c r="AM147" i="6"/>
  <c r="AI147" i="6"/>
  <c r="AE147" i="6"/>
  <c r="AA147" i="6"/>
  <c r="W147" i="6"/>
  <c r="S147" i="6"/>
  <c r="BN147" i="6"/>
  <c r="BJ147" i="6"/>
  <c r="BF147" i="6"/>
  <c r="BB147" i="6"/>
  <c r="AX147" i="6"/>
  <c r="AT147" i="6"/>
  <c r="AP147" i="6"/>
  <c r="AL147" i="6"/>
  <c r="AH147" i="6"/>
  <c r="AD147" i="6"/>
  <c r="Z147" i="6"/>
  <c r="V147" i="6"/>
  <c r="BI147" i="6"/>
  <c r="BE147" i="6"/>
  <c r="BA147" i="6"/>
  <c r="AW147" i="6"/>
  <c r="AO147" i="6"/>
  <c r="AG147" i="6"/>
  <c r="Y147" i="6"/>
  <c r="BL147" i="6"/>
  <c r="BH147" i="6"/>
  <c r="BD147" i="6"/>
  <c r="AZ147" i="6"/>
  <c r="AV147" i="6"/>
  <c r="AR147" i="6"/>
  <c r="AN147" i="6"/>
  <c r="AJ147" i="6"/>
  <c r="AF147" i="6"/>
  <c r="AB147" i="6"/>
  <c r="X147" i="6"/>
  <c r="T147" i="6"/>
  <c r="BM147" i="6"/>
  <c r="AS147" i="6"/>
  <c r="AK147" i="6"/>
  <c r="AC147" i="6"/>
  <c r="U147" i="6"/>
  <c r="BM87" i="6"/>
  <c r="BI87" i="6"/>
  <c r="BE87" i="6"/>
  <c r="BA87" i="6"/>
  <c r="AW87" i="6"/>
  <c r="AS87" i="6"/>
  <c r="AO87" i="6"/>
  <c r="AK87" i="6"/>
  <c r="AG87" i="6"/>
  <c r="AC87" i="6"/>
  <c r="Y87" i="6"/>
  <c r="U87" i="6"/>
  <c r="BL87" i="6"/>
  <c r="BH87" i="6"/>
  <c r="BD87" i="6"/>
  <c r="AZ87" i="6"/>
  <c r="AV87" i="6"/>
  <c r="AR87" i="6"/>
  <c r="AN87" i="6"/>
  <c r="AJ87" i="6"/>
  <c r="BO87" i="6"/>
  <c r="BK87" i="6"/>
  <c r="BG87" i="6"/>
  <c r="BC87" i="6"/>
  <c r="AY87" i="6"/>
  <c r="AU87" i="6"/>
  <c r="AQ87" i="6"/>
  <c r="AM87" i="6"/>
  <c r="AI87" i="6"/>
  <c r="AE87" i="6"/>
  <c r="AA87" i="6"/>
  <c r="W87" i="6"/>
  <c r="S87" i="6"/>
  <c r="BJ87" i="6"/>
  <c r="AT87" i="6"/>
  <c r="AF87" i="6"/>
  <c r="X87" i="6"/>
  <c r="BN87" i="6"/>
  <c r="AH87" i="6"/>
  <c r="BF87" i="6"/>
  <c r="AP87" i="6"/>
  <c r="AD87" i="6"/>
  <c r="V87" i="6"/>
  <c r="Z87" i="6"/>
  <c r="BB87" i="6"/>
  <c r="AL87" i="6"/>
  <c r="AB87" i="6"/>
  <c r="T87" i="6"/>
  <c r="AX87" i="6"/>
  <c r="E201" i="6"/>
  <c r="R147" i="6"/>
  <c r="R87" i="6"/>
  <c r="F95" i="8"/>
  <c r="F94" i="8"/>
  <c r="H47" i="6"/>
  <c r="G53" i="6"/>
  <c r="F55" i="6"/>
  <c r="F54" i="6"/>
  <c r="F58" i="6" s="1"/>
  <c r="F59" i="6" s="1"/>
  <c r="I44" i="6"/>
  <c r="AT268" i="6" l="1"/>
  <c r="AP268" i="6"/>
  <c r="AL268" i="6"/>
  <c r="AH268" i="6"/>
  <c r="AD268" i="6"/>
  <c r="Z268" i="6"/>
  <c r="V268" i="6"/>
  <c r="AF268" i="6"/>
  <c r="T268" i="6"/>
  <c r="AS268" i="6"/>
  <c r="AO268" i="6"/>
  <c r="AK268" i="6"/>
  <c r="AG268" i="6"/>
  <c r="AC268" i="6"/>
  <c r="F212" i="6" s="1"/>
  <c r="Y268" i="6"/>
  <c r="U268" i="6"/>
  <c r="R268" i="6"/>
  <c r="E212" i="6" s="1"/>
  <c r="AR268" i="6"/>
  <c r="G212" i="6" s="1"/>
  <c r="AJ268" i="6"/>
  <c r="X268" i="6"/>
  <c r="AU268" i="6"/>
  <c r="AQ268" i="6"/>
  <c r="AM268" i="6"/>
  <c r="AI268" i="6"/>
  <c r="AE268" i="6"/>
  <c r="AA268" i="6"/>
  <c r="W268" i="6"/>
  <c r="S268" i="6"/>
  <c r="AN268" i="6"/>
  <c r="AB268" i="6"/>
  <c r="H94" i="8"/>
  <c r="F100" i="8"/>
  <c r="F96" i="8"/>
  <c r="F101" i="8"/>
  <c r="H101" i="8" s="1"/>
  <c r="H95" i="8"/>
  <c r="G56" i="6"/>
  <c r="G57" i="6" s="1"/>
  <c r="I47" i="6"/>
  <c r="H53" i="6"/>
  <c r="G55" i="6"/>
  <c r="G54" i="6"/>
  <c r="G58" i="6" s="1"/>
  <c r="J44" i="6"/>
  <c r="H100" i="8" l="1"/>
  <c r="F102" i="8"/>
  <c r="H102" i="8" s="1"/>
  <c r="H96" i="8"/>
  <c r="F104" i="8"/>
  <c r="J47" i="6"/>
  <c r="G59" i="6"/>
  <c r="H54" i="6"/>
  <c r="H58" i="6" s="1"/>
  <c r="H55" i="6"/>
  <c r="I53" i="6"/>
  <c r="K44" i="6"/>
  <c r="H11" i="3"/>
  <c r="H13" i="3" s="1"/>
  <c r="I103" i="8" l="1"/>
  <c r="H104" i="8"/>
  <c r="K47" i="6"/>
  <c r="J53" i="6"/>
  <c r="H56" i="6"/>
  <c r="H57" i="6" s="1"/>
  <c r="I54" i="6"/>
  <c r="I58" i="6" s="1"/>
  <c r="I55" i="6"/>
  <c r="L44" i="6"/>
  <c r="J54" i="6" l="1"/>
  <c r="J58" i="6" s="1"/>
  <c r="J55" i="6"/>
  <c r="H59" i="6"/>
  <c r="I56" i="6" s="1"/>
  <c r="I57" i="6" s="1"/>
  <c r="L47" i="6"/>
  <c r="K53" i="6"/>
  <c r="M44" i="6"/>
  <c r="I59" i="6" l="1"/>
  <c r="J56" i="6" s="1"/>
  <c r="J57" i="6" s="1"/>
  <c r="M47" i="6"/>
  <c r="L53" i="6"/>
  <c r="K55" i="6"/>
  <c r="K54" i="6"/>
  <c r="K58" i="6" s="1"/>
  <c r="N44" i="6"/>
  <c r="O44" i="6" s="1"/>
  <c r="P44" i="6" s="1"/>
  <c r="Q44" i="6" s="1"/>
  <c r="R44" i="6" s="1"/>
  <c r="B13" i="13" s="1"/>
  <c r="B14" i="13" l="1"/>
  <c r="K13" i="13"/>
  <c r="D5" i="7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D15" i="7"/>
  <c r="S44" i="6"/>
  <c r="N47" i="6"/>
  <c r="M53" i="6"/>
  <c r="L55" i="6"/>
  <c r="L54" i="6"/>
  <c r="L58" i="6" s="1"/>
  <c r="J59" i="6"/>
  <c r="D58" i="7" l="1"/>
  <c r="D85" i="7"/>
  <c r="S13" i="13"/>
  <c r="L13" i="13"/>
  <c r="E15" i="7"/>
  <c r="B15" i="13"/>
  <c r="K14" i="13"/>
  <c r="L14" i="13" s="1"/>
  <c r="O14" i="13" s="1"/>
  <c r="S311" i="6"/>
  <c r="S245" i="6"/>
  <c r="S121" i="6"/>
  <c r="S66" i="6"/>
  <c r="T44" i="6"/>
  <c r="M55" i="6"/>
  <c r="M54" i="6"/>
  <c r="M58" i="6" s="1"/>
  <c r="O47" i="6"/>
  <c r="N53" i="6"/>
  <c r="K56" i="6"/>
  <c r="K57" i="6" s="1"/>
  <c r="F15" i="7" l="1"/>
  <c r="G15" i="7" s="1"/>
  <c r="E85" i="7"/>
  <c r="E58" i="7"/>
  <c r="B16" i="13"/>
  <c r="K15" i="13"/>
  <c r="L15" i="13" s="1"/>
  <c r="O15" i="13" s="1"/>
  <c r="O13" i="13"/>
  <c r="P13" i="13" s="1"/>
  <c r="Q13" i="13" s="1"/>
  <c r="M14" i="13" s="1"/>
  <c r="P14" i="13" s="1"/>
  <c r="Q14" i="13" s="1"/>
  <c r="M15" i="13" s="1"/>
  <c r="T311" i="6"/>
  <c r="T245" i="6"/>
  <c r="T121" i="6"/>
  <c r="T66" i="6"/>
  <c r="U44" i="6"/>
  <c r="P47" i="6"/>
  <c r="O53" i="6"/>
  <c r="N55" i="6"/>
  <c r="N54" i="6"/>
  <c r="N58" i="6" s="1"/>
  <c r="K59" i="6"/>
  <c r="G58" i="7" l="1"/>
  <c r="G85" i="7"/>
  <c r="F58" i="7"/>
  <c r="F85" i="7"/>
  <c r="P15" i="13"/>
  <c r="Q15" i="13" s="1"/>
  <c r="M16" i="13" s="1"/>
  <c r="B17" i="13"/>
  <c r="K16" i="13"/>
  <c r="L16" i="13" s="1"/>
  <c r="H15" i="7"/>
  <c r="U311" i="6"/>
  <c r="U245" i="6"/>
  <c r="U66" i="6"/>
  <c r="U121" i="6"/>
  <c r="V44" i="6"/>
  <c r="O55" i="6"/>
  <c r="O54" i="6"/>
  <c r="O58" i="6" s="1"/>
  <c r="Q47" i="6"/>
  <c r="P53" i="6"/>
  <c r="L56" i="6"/>
  <c r="L57" i="6" s="1"/>
  <c r="H85" i="7" l="1"/>
  <c r="H58" i="7"/>
  <c r="O16" i="13"/>
  <c r="P16" i="13" s="1"/>
  <c r="Q16" i="13" s="1"/>
  <c r="M17" i="13" s="1"/>
  <c r="B18" i="13"/>
  <c r="K17" i="13"/>
  <c r="L17" i="13" s="1"/>
  <c r="O17" i="13" s="1"/>
  <c r="I15" i="7"/>
  <c r="V311" i="6"/>
  <c r="V245" i="6"/>
  <c r="V66" i="6"/>
  <c r="V121" i="6"/>
  <c r="W44" i="6"/>
  <c r="R47" i="6"/>
  <c r="R261" i="6" s="1"/>
  <c r="Q53" i="6"/>
  <c r="E53" i="6" s="1"/>
  <c r="P55" i="6"/>
  <c r="P54" i="6"/>
  <c r="P58" i="6" s="1"/>
  <c r="I85" i="7" l="1"/>
  <c r="I58" i="7"/>
  <c r="R292" i="6"/>
  <c r="R294" i="6" s="1"/>
  <c r="B19" i="13"/>
  <c r="K18" i="13"/>
  <c r="L18" i="13" s="1"/>
  <c r="P17" i="13"/>
  <c r="Q17" i="13" s="1"/>
  <c r="M18" i="13" s="1"/>
  <c r="J15" i="7"/>
  <c r="E37" i="6"/>
  <c r="E31" i="6"/>
  <c r="W311" i="6"/>
  <c r="W245" i="6"/>
  <c r="R337" i="6"/>
  <c r="R313" i="6"/>
  <c r="R314" i="6" s="1"/>
  <c r="R69" i="6"/>
  <c r="W121" i="6"/>
  <c r="W66" i="6"/>
  <c r="X44" i="6"/>
  <c r="Q55" i="6"/>
  <c r="Q54" i="6"/>
  <c r="Q58" i="6" s="1"/>
  <c r="S47" i="6"/>
  <c r="R53" i="6"/>
  <c r="L59" i="6"/>
  <c r="M56" i="6" s="1"/>
  <c r="M57" i="6" s="1"/>
  <c r="J85" i="7" l="1"/>
  <c r="J58" i="7"/>
  <c r="R297" i="6"/>
  <c r="R262" i="6" s="1"/>
  <c r="R263" i="6" s="1"/>
  <c r="R267" i="6" s="1"/>
  <c r="R296" i="6"/>
  <c r="O18" i="13"/>
  <c r="P18" i="13" s="1"/>
  <c r="Q18" i="13" s="1"/>
  <c r="M19" i="13" s="1"/>
  <c r="B20" i="13"/>
  <c r="K19" i="13"/>
  <c r="L19" i="13" s="1"/>
  <c r="O19" i="13" s="1"/>
  <c r="K15" i="7"/>
  <c r="S313" i="6"/>
  <c r="S314" i="6" s="1"/>
  <c r="S337" i="6"/>
  <c r="X311" i="6"/>
  <c r="X245" i="6"/>
  <c r="X121" i="6"/>
  <c r="X66" i="6"/>
  <c r="Y44" i="6"/>
  <c r="R124" i="6"/>
  <c r="R55" i="6"/>
  <c r="R54" i="6"/>
  <c r="R58" i="6" s="1"/>
  <c r="T47" i="6"/>
  <c r="S53" i="6"/>
  <c r="K58" i="7" l="1"/>
  <c r="K85" i="7"/>
  <c r="E211" i="6"/>
  <c r="D10" i="7"/>
  <c r="R269" i="6"/>
  <c r="D11" i="7" s="1"/>
  <c r="R298" i="6"/>
  <c r="S290" i="6" s="1"/>
  <c r="S291" i="6" s="1"/>
  <c r="R280" i="6"/>
  <c r="R281" i="6" s="1"/>
  <c r="S275" i="6" s="1"/>
  <c r="S276" i="6" s="1"/>
  <c r="S252" i="6" s="1"/>
  <c r="S254" i="6" s="1"/>
  <c r="S255" i="6" s="1"/>
  <c r="S257" i="6" s="1"/>
  <c r="B21" i="13"/>
  <c r="K20" i="13"/>
  <c r="L20" i="13" s="1"/>
  <c r="O20" i="13" s="1"/>
  <c r="P19" i="13"/>
  <c r="Q19" i="13" s="1"/>
  <c r="M20" i="13" s="1"/>
  <c r="L15" i="7"/>
  <c r="T337" i="6"/>
  <c r="T313" i="6"/>
  <c r="T314" i="6" s="1"/>
  <c r="Y311" i="6"/>
  <c r="Y245" i="6"/>
  <c r="Y66" i="6"/>
  <c r="Y121" i="6"/>
  <c r="Z44" i="6"/>
  <c r="U47" i="6"/>
  <c r="T53" i="6"/>
  <c r="S55" i="6"/>
  <c r="S54" i="6"/>
  <c r="S58" i="6" s="1"/>
  <c r="M59" i="6"/>
  <c r="N56" i="6" s="1"/>
  <c r="N57" i="6" s="1"/>
  <c r="L58" i="7" l="1"/>
  <c r="L85" i="7"/>
  <c r="E213" i="6"/>
  <c r="S277" i="6"/>
  <c r="S278" i="6" s="1"/>
  <c r="S279" i="6" s="1"/>
  <c r="S295" i="6" s="1"/>
  <c r="S260" i="6"/>
  <c r="S261" i="6"/>
  <c r="S292" i="6" s="1"/>
  <c r="S294" i="6" s="1"/>
  <c r="P20" i="13"/>
  <c r="Q20" i="13" s="1"/>
  <c r="M21" i="13" s="1"/>
  <c r="B22" i="13"/>
  <c r="K21" i="13"/>
  <c r="L21" i="13" s="1"/>
  <c r="M15" i="7"/>
  <c r="U337" i="6"/>
  <c r="U313" i="6"/>
  <c r="U314" i="6" s="1"/>
  <c r="Z311" i="6"/>
  <c r="Z245" i="6"/>
  <c r="Z66" i="6"/>
  <c r="Z121" i="6"/>
  <c r="AA44" i="6"/>
  <c r="T55" i="6"/>
  <c r="T54" i="6"/>
  <c r="T58" i="6" s="1"/>
  <c r="V47" i="6"/>
  <c r="U53" i="6"/>
  <c r="M85" i="7" l="1"/>
  <c r="M58" i="7"/>
  <c r="S297" i="6"/>
  <c r="S262" i="6" s="1"/>
  <c r="S263" i="6" s="1"/>
  <c r="S267" i="6" s="1"/>
  <c r="S296" i="6"/>
  <c r="O21" i="13"/>
  <c r="P21" i="13" s="1"/>
  <c r="Q21" i="13" s="1"/>
  <c r="M22" i="13" s="1"/>
  <c r="B23" i="13"/>
  <c r="K22" i="13"/>
  <c r="L22" i="13" s="1"/>
  <c r="O22" i="13" s="1"/>
  <c r="N15" i="7"/>
  <c r="V313" i="6"/>
  <c r="V314" i="6" s="1"/>
  <c r="V337" i="6"/>
  <c r="AA311" i="6"/>
  <c r="AA245" i="6"/>
  <c r="AA121" i="6"/>
  <c r="AA66" i="6"/>
  <c r="AB44" i="6"/>
  <c r="U55" i="6"/>
  <c r="U54" i="6"/>
  <c r="U58" i="6" s="1"/>
  <c r="W47" i="6"/>
  <c r="V53" i="6"/>
  <c r="N59" i="6"/>
  <c r="O56" i="6" s="1"/>
  <c r="O57" i="6" s="1"/>
  <c r="N58" i="7" l="1"/>
  <c r="N85" i="7"/>
  <c r="S269" i="6"/>
  <c r="E11" i="7" s="1"/>
  <c r="E10" i="7"/>
  <c r="S298" i="6"/>
  <c r="T290" i="6" s="1"/>
  <c r="T291" i="6" s="1"/>
  <c r="S280" i="6"/>
  <c r="S281" i="6" s="1"/>
  <c r="T275" i="6" s="1"/>
  <c r="T276" i="6" s="1"/>
  <c r="T252" i="6" s="1"/>
  <c r="T254" i="6" s="1"/>
  <c r="T255" i="6" s="1"/>
  <c r="T257" i="6" s="1"/>
  <c r="B24" i="13"/>
  <c r="K23" i="13"/>
  <c r="L23" i="13" s="1"/>
  <c r="O23" i="13" s="1"/>
  <c r="P22" i="13"/>
  <c r="Q22" i="13" s="1"/>
  <c r="M23" i="13" s="1"/>
  <c r="O15" i="7"/>
  <c r="W337" i="6"/>
  <c r="W313" i="6"/>
  <c r="W314" i="6" s="1"/>
  <c r="AB311" i="6"/>
  <c r="AB245" i="6"/>
  <c r="AB121" i="6"/>
  <c r="AB66" i="6"/>
  <c r="AC44" i="6"/>
  <c r="V55" i="6"/>
  <c r="V54" i="6"/>
  <c r="V58" i="6" s="1"/>
  <c r="X47" i="6"/>
  <c r="W53" i="6"/>
  <c r="O58" i="7" l="1"/>
  <c r="O85" i="7"/>
  <c r="T277" i="6"/>
  <c r="T278" i="6" s="1"/>
  <c r="T279" i="6" s="1"/>
  <c r="T295" i="6" s="1"/>
  <c r="T260" i="6"/>
  <c r="T261" i="6"/>
  <c r="T292" i="6" s="1"/>
  <c r="T294" i="6" s="1"/>
  <c r="P23" i="13"/>
  <c r="Q23" i="13" s="1"/>
  <c r="M24" i="13" s="1"/>
  <c r="B25" i="13"/>
  <c r="K24" i="13"/>
  <c r="L24" i="13" s="1"/>
  <c r="O24" i="13" s="1"/>
  <c r="P15" i="7"/>
  <c r="X313" i="6"/>
  <c r="X314" i="6" s="1"/>
  <c r="X337" i="6"/>
  <c r="AC311" i="6"/>
  <c r="AC245" i="6"/>
  <c r="AC66" i="6"/>
  <c r="AC121" i="6"/>
  <c r="AD44" i="6"/>
  <c r="W55" i="6"/>
  <c r="W54" i="6"/>
  <c r="W58" i="6" s="1"/>
  <c r="Y47" i="6"/>
  <c r="X53" i="6"/>
  <c r="O59" i="6"/>
  <c r="P56" i="6" s="1"/>
  <c r="P57" i="6" s="1"/>
  <c r="P85" i="7" l="1"/>
  <c r="P58" i="7"/>
  <c r="T296" i="6"/>
  <c r="T280" i="6" s="1"/>
  <c r="T297" i="6"/>
  <c r="T262" i="6" s="1"/>
  <c r="T263" i="6" s="1"/>
  <c r="T267" i="6" s="1"/>
  <c r="P24" i="13"/>
  <c r="Q24" i="13" s="1"/>
  <c r="M25" i="13" s="1"/>
  <c r="B26" i="13"/>
  <c r="K25" i="13"/>
  <c r="L25" i="13" s="1"/>
  <c r="O25" i="13" s="1"/>
  <c r="Q15" i="7"/>
  <c r="Y313" i="6"/>
  <c r="Y314" i="6" s="1"/>
  <c r="Y337" i="6"/>
  <c r="AD311" i="6"/>
  <c r="AD245" i="6"/>
  <c r="AD66" i="6"/>
  <c r="AD121" i="6"/>
  <c r="AE44" i="6"/>
  <c r="Z47" i="6"/>
  <c r="Y53" i="6"/>
  <c r="X55" i="6"/>
  <c r="X54" i="6"/>
  <c r="X58" i="6" s="1"/>
  <c r="P59" i="6"/>
  <c r="Q85" i="7" l="1"/>
  <c r="Q58" i="7"/>
  <c r="T269" i="6"/>
  <c r="F11" i="7" s="1"/>
  <c r="F10" i="7"/>
  <c r="T298" i="6"/>
  <c r="U290" i="6" s="1"/>
  <c r="U291" i="6" s="1"/>
  <c r="T281" i="6"/>
  <c r="U275" i="6" s="1"/>
  <c r="P25" i="13"/>
  <c r="Q25" i="13" s="1"/>
  <c r="M26" i="13" s="1"/>
  <c r="B27" i="13"/>
  <c r="K26" i="13"/>
  <c r="L26" i="13" s="1"/>
  <c r="O26" i="13" s="1"/>
  <c r="R15" i="7"/>
  <c r="Z313" i="6"/>
  <c r="Z314" i="6" s="1"/>
  <c r="Z337" i="6"/>
  <c r="AE311" i="6"/>
  <c r="AE245" i="6"/>
  <c r="AE121" i="6"/>
  <c r="AE66" i="6"/>
  <c r="AF44" i="6"/>
  <c r="Y55" i="6"/>
  <c r="Y54" i="6"/>
  <c r="Y58" i="6" s="1"/>
  <c r="AA47" i="6"/>
  <c r="Z53" i="6"/>
  <c r="Q56" i="6"/>
  <c r="Q57" i="6" s="1"/>
  <c r="R85" i="7" l="1"/>
  <c r="R58" i="7"/>
  <c r="U276" i="6"/>
  <c r="U277" i="6"/>
  <c r="P26" i="13"/>
  <c r="Q26" i="13" s="1"/>
  <c r="M27" i="13" s="1"/>
  <c r="B28" i="13"/>
  <c r="K27" i="13"/>
  <c r="L27" i="13" s="1"/>
  <c r="O27" i="13" s="1"/>
  <c r="S15" i="7"/>
  <c r="AA313" i="6"/>
  <c r="AA314" i="6" s="1"/>
  <c r="AA337" i="6"/>
  <c r="AF311" i="6"/>
  <c r="AF245" i="6"/>
  <c r="AF121" i="6"/>
  <c r="AF66" i="6"/>
  <c r="AG44" i="6"/>
  <c r="Z55" i="6"/>
  <c r="Z54" i="6"/>
  <c r="Z58" i="6" s="1"/>
  <c r="AB47" i="6"/>
  <c r="AA53" i="6"/>
  <c r="Q59" i="6"/>
  <c r="Q60" i="6" s="1"/>
  <c r="Q61" i="6" l="1"/>
  <c r="R101" i="6" s="1"/>
  <c r="R73" i="6" s="1"/>
  <c r="R60" i="6"/>
  <c r="S58" i="7"/>
  <c r="S85" i="7"/>
  <c r="U252" i="6"/>
  <c r="U254" i="6" s="1"/>
  <c r="U255" i="6" s="1"/>
  <c r="U257" i="6" s="1"/>
  <c r="U278" i="6"/>
  <c r="U279" i="6" s="1"/>
  <c r="U295" i="6" s="1"/>
  <c r="P27" i="13"/>
  <c r="Q27" i="13" s="1"/>
  <c r="M28" i="13" s="1"/>
  <c r="B29" i="13"/>
  <c r="K28" i="13"/>
  <c r="L28" i="13" s="1"/>
  <c r="O28" i="13" s="1"/>
  <c r="T15" i="7"/>
  <c r="R151" i="6"/>
  <c r="R317" i="6"/>
  <c r="AB313" i="6"/>
  <c r="AB314" i="6" s="1"/>
  <c r="AB337" i="6"/>
  <c r="AG311" i="6"/>
  <c r="AG245" i="6"/>
  <c r="R92" i="6"/>
  <c r="P92" i="6" s="1"/>
  <c r="R127" i="6"/>
  <c r="R128" i="6" s="1"/>
  <c r="AG66" i="6"/>
  <c r="AG121" i="6"/>
  <c r="AH44" i="6"/>
  <c r="AC47" i="6"/>
  <c r="AB53" i="6"/>
  <c r="AA55" i="6"/>
  <c r="AA54" i="6"/>
  <c r="AA58" i="6" s="1"/>
  <c r="R56" i="6"/>
  <c r="R153" i="6" l="1"/>
  <c r="R168" i="6" s="1"/>
  <c r="P151" i="6"/>
  <c r="T58" i="7"/>
  <c r="T85" i="7"/>
  <c r="U260" i="6"/>
  <c r="U261" i="6"/>
  <c r="U292" i="6" s="1"/>
  <c r="U294" i="6" s="1"/>
  <c r="R93" i="6"/>
  <c r="P93" i="6" s="1"/>
  <c r="P28" i="13"/>
  <c r="Q28" i="13" s="1"/>
  <c r="M29" i="13" s="1"/>
  <c r="B30" i="13"/>
  <c r="K29" i="13"/>
  <c r="L29" i="13" s="1"/>
  <c r="O29" i="13" s="1"/>
  <c r="R152" i="6"/>
  <c r="U15" i="7"/>
  <c r="F31" i="6"/>
  <c r="F37" i="6"/>
  <c r="R318" i="6"/>
  <c r="R320" i="6" s="1"/>
  <c r="R326" i="6" s="1"/>
  <c r="R329" i="6" s="1"/>
  <c r="R332" i="6" s="1"/>
  <c r="R336" i="6" s="1"/>
  <c r="R338" i="6" s="1"/>
  <c r="AC337" i="6"/>
  <c r="AC313" i="6"/>
  <c r="AC314" i="6" s="1"/>
  <c r="AH311" i="6"/>
  <c r="AH245" i="6"/>
  <c r="R116" i="6"/>
  <c r="R103" i="6"/>
  <c r="S101" i="6" s="1"/>
  <c r="S73" i="6" s="1"/>
  <c r="AH66" i="6"/>
  <c r="AH121" i="6"/>
  <c r="AI44" i="6"/>
  <c r="AB55" i="6"/>
  <c r="AB54" i="6"/>
  <c r="AB58" i="6" s="1"/>
  <c r="AD47" i="6"/>
  <c r="AC53" i="6"/>
  <c r="R57" i="6"/>
  <c r="R59" i="6" s="1"/>
  <c r="R133" i="6" l="1"/>
  <c r="R134" i="6" s="1"/>
  <c r="R165" i="6" s="1"/>
  <c r="R141" i="6" s="1"/>
  <c r="S152" i="6"/>
  <c r="T152" i="6" s="1"/>
  <c r="U152" i="6" s="1"/>
  <c r="V152" i="6" s="1"/>
  <c r="W152" i="6" s="1"/>
  <c r="X152" i="6" s="1"/>
  <c r="Y152" i="6" s="1"/>
  <c r="Z152" i="6" s="1"/>
  <c r="AA152" i="6" s="1"/>
  <c r="AB152" i="6" s="1"/>
  <c r="AC152" i="6" s="1"/>
  <c r="AD152" i="6" s="1"/>
  <c r="AE152" i="6" s="1"/>
  <c r="AF152" i="6" s="1"/>
  <c r="AG152" i="6" s="1"/>
  <c r="AH152" i="6" s="1"/>
  <c r="AI152" i="6" s="1"/>
  <c r="AJ152" i="6" s="1"/>
  <c r="AK152" i="6" s="1"/>
  <c r="AL152" i="6" s="1"/>
  <c r="AM152" i="6" s="1"/>
  <c r="AN152" i="6" s="1"/>
  <c r="AO152" i="6" s="1"/>
  <c r="AP152" i="6" s="1"/>
  <c r="AQ152" i="6" s="1"/>
  <c r="AR152" i="6" s="1"/>
  <c r="AS152" i="6" s="1"/>
  <c r="AT152" i="6" s="1"/>
  <c r="AU152" i="6" s="1"/>
  <c r="P152" i="6"/>
  <c r="U85" i="7"/>
  <c r="U58" i="7"/>
  <c r="U297" i="6"/>
  <c r="U262" i="6" s="1"/>
  <c r="U263" i="6" s="1"/>
  <c r="U267" i="6" s="1"/>
  <c r="U296" i="6"/>
  <c r="U280" i="6" s="1"/>
  <c r="P29" i="13"/>
  <c r="Q29" i="13" s="1"/>
  <c r="M30" i="13" s="1"/>
  <c r="B31" i="13"/>
  <c r="K30" i="13"/>
  <c r="L30" i="13" s="1"/>
  <c r="O30" i="13" s="1"/>
  <c r="R154" i="6"/>
  <c r="R155" i="6" s="1"/>
  <c r="S151" i="6" s="1"/>
  <c r="S153" i="6" s="1"/>
  <c r="V15" i="7"/>
  <c r="R319" i="6"/>
  <c r="S317" i="6" s="1"/>
  <c r="S318" i="6" s="1"/>
  <c r="S320" i="6" s="1"/>
  <c r="S326" i="6" s="1"/>
  <c r="S329" i="6" s="1"/>
  <c r="S332" i="6" s="1"/>
  <c r="S336" i="6" s="1"/>
  <c r="S338" i="6" s="1"/>
  <c r="AD313" i="6"/>
  <c r="AD314" i="6" s="1"/>
  <c r="AD337" i="6"/>
  <c r="AI311" i="6"/>
  <c r="AI245" i="6"/>
  <c r="S103" i="6"/>
  <c r="T101" i="6" s="1"/>
  <c r="T73" i="6" s="1"/>
  <c r="S116" i="6"/>
  <c r="AI121" i="6"/>
  <c r="AI66" i="6"/>
  <c r="AJ44" i="6"/>
  <c r="AC55" i="6"/>
  <c r="AC54" i="6"/>
  <c r="AC58" i="6" s="1"/>
  <c r="AE47" i="6"/>
  <c r="AD53" i="6"/>
  <c r="S56" i="6"/>
  <c r="R135" i="6" l="1"/>
  <c r="V58" i="7"/>
  <c r="V85" i="7"/>
  <c r="U269" i="6"/>
  <c r="G11" i="7" s="1"/>
  <c r="G10" i="7"/>
  <c r="U298" i="6"/>
  <c r="V290" i="6" s="1"/>
  <c r="V291" i="6" s="1"/>
  <c r="U281" i="6"/>
  <c r="V275" i="6" s="1"/>
  <c r="S133" i="6"/>
  <c r="S134" i="6" s="1"/>
  <c r="S165" i="6" s="1"/>
  <c r="S141" i="6" s="1"/>
  <c r="S168" i="6"/>
  <c r="P30" i="13"/>
  <c r="Q30" i="13" s="1"/>
  <c r="M31" i="13" s="1"/>
  <c r="B32" i="13"/>
  <c r="K31" i="13"/>
  <c r="L31" i="13" s="1"/>
  <c r="O31" i="13" s="1"/>
  <c r="S154" i="6"/>
  <c r="S155" i="6" s="1"/>
  <c r="T151" i="6" s="1"/>
  <c r="T153" i="6" s="1"/>
  <c r="W15" i="7"/>
  <c r="S319" i="6"/>
  <c r="T317" i="6" s="1"/>
  <c r="AJ311" i="6"/>
  <c r="AJ245" i="6"/>
  <c r="AE313" i="6"/>
  <c r="AE314" i="6" s="1"/>
  <c r="AE337" i="6"/>
  <c r="T116" i="6"/>
  <c r="T103" i="6"/>
  <c r="U101" i="6" s="1"/>
  <c r="U73" i="6" s="1"/>
  <c r="AJ121" i="6"/>
  <c r="AJ66" i="6"/>
  <c r="AK44" i="6"/>
  <c r="R130" i="6"/>
  <c r="R131" i="6" s="1"/>
  <c r="R137" i="6" s="1"/>
  <c r="R94" i="6"/>
  <c r="AD55" i="6"/>
  <c r="AD54" i="6"/>
  <c r="AD58" i="6" s="1"/>
  <c r="AF47" i="6"/>
  <c r="AE53" i="6"/>
  <c r="S57" i="6"/>
  <c r="S59" i="6" s="1"/>
  <c r="W58" i="7" l="1"/>
  <c r="W85" i="7"/>
  <c r="V277" i="6"/>
  <c r="V276" i="6"/>
  <c r="S135" i="6"/>
  <c r="T154" i="6"/>
  <c r="T155" i="6" s="1"/>
  <c r="U151" i="6" s="1"/>
  <c r="U153" i="6" s="1"/>
  <c r="U168" i="6" s="1"/>
  <c r="T168" i="6"/>
  <c r="P31" i="13"/>
  <c r="Q31" i="13" s="1"/>
  <c r="M32" i="13" s="1"/>
  <c r="B33" i="13"/>
  <c r="K32" i="13"/>
  <c r="L32" i="13" s="1"/>
  <c r="O32" i="13" s="1"/>
  <c r="T133" i="6"/>
  <c r="T134" i="6" s="1"/>
  <c r="T165" i="6" s="1"/>
  <c r="T141" i="6" s="1"/>
  <c r="X15" i="7"/>
  <c r="AF337" i="6"/>
  <c r="AF313" i="6"/>
  <c r="AF314" i="6" s="1"/>
  <c r="AK311" i="6"/>
  <c r="AK245" i="6"/>
  <c r="T318" i="6"/>
  <c r="T320" i="6" s="1"/>
  <c r="T326" i="6" s="1"/>
  <c r="T329" i="6" s="1"/>
  <c r="T332" i="6" s="1"/>
  <c r="T336" i="6" s="1"/>
  <c r="T338" i="6" s="1"/>
  <c r="R167" i="6"/>
  <c r="U103" i="6"/>
  <c r="V101" i="6" s="1"/>
  <c r="V73" i="6" s="1"/>
  <c r="U116" i="6"/>
  <c r="AK66" i="6"/>
  <c r="AK121" i="6"/>
  <c r="R72" i="6"/>
  <c r="R74" i="6" s="1"/>
  <c r="AL44" i="6"/>
  <c r="R140" i="6"/>
  <c r="R95" i="6"/>
  <c r="R96" i="6" s="1"/>
  <c r="R129" i="6"/>
  <c r="T56" i="6"/>
  <c r="T57" i="6" s="1"/>
  <c r="T59" i="6" s="1"/>
  <c r="AE55" i="6"/>
  <c r="AE54" i="6"/>
  <c r="AE58" i="6" s="1"/>
  <c r="AG47" i="6"/>
  <c r="AF53" i="6"/>
  <c r="X85" i="7" l="1"/>
  <c r="X58" i="7"/>
  <c r="V252" i="6"/>
  <c r="V254" i="6" s="1"/>
  <c r="V255" i="6" s="1"/>
  <c r="V257" i="6" s="1"/>
  <c r="V278" i="6"/>
  <c r="V279" i="6" s="1"/>
  <c r="R111" i="6"/>
  <c r="U133" i="6"/>
  <c r="U134" i="6" s="1"/>
  <c r="U165" i="6" s="1"/>
  <c r="U141" i="6" s="1"/>
  <c r="U154" i="6"/>
  <c r="U155" i="6" s="1"/>
  <c r="V151" i="6" s="1"/>
  <c r="V153" i="6" s="1"/>
  <c r="V168" i="6" s="1"/>
  <c r="R169" i="6"/>
  <c r="R142" i="6" s="1"/>
  <c r="R143" i="6" s="1"/>
  <c r="R146" i="6" s="1"/>
  <c r="T135" i="6"/>
  <c r="R75" i="6"/>
  <c r="P75" i="6" s="1"/>
  <c r="R81" i="6"/>
  <c r="R108" i="6" s="1"/>
  <c r="R110" i="6" s="1"/>
  <c r="P32" i="13"/>
  <c r="Q32" i="13" s="1"/>
  <c r="M33" i="13" s="1"/>
  <c r="B34" i="13"/>
  <c r="K33" i="13"/>
  <c r="L33" i="13" s="1"/>
  <c r="O33" i="13" s="1"/>
  <c r="Y15" i="7"/>
  <c r="T319" i="6"/>
  <c r="U317" i="6" s="1"/>
  <c r="U318" i="6" s="1"/>
  <c r="U320" i="6" s="1"/>
  <c r="U326" i="6" s="1"/>
  <c r="U329" i="6" s="1"/>
  <c r="U332" i="6" s="1"/>
  <c r="U336" i="6" s="1"/>
  <c r="U338" i="6" s="1"/>
  <c r="AL311" i="6"/>
  <c r="AL245" i="6"/>
  <c r="AG313" i="6"/>
  <c r="AG314" i="6" s="1"/>
  <c r="AG337" i="6"/>
  <c r="V116" i="6"/>
  <c r="V103" i="6"/>
  <c r="W101" i="6" s="1"/>
  <c r="W73" i="6" s="1"/>
  <c r="AL66" i="6"/>
  <c r="AL121" i="6"/>
  <c r="AM44" i="6"/>
  <c r="S127" i="6"/>
  <c r="S128" i="6" s="1"/>
  <c r="S130" i="6" s="1"/>
  <c r="S131" i="6" s="1"/>
  <c r="S137" i="6" s="1"/>
  <c r="AF55" i="6"/>
  <c r="AF54" i="6"/>
  <c r="AF58" i="6" s="1"/>
  <c r="AH47" i="6"/>
  <c r="AG53" i="6"/>
  <c r="U56" i="6"/>
  <c r="R77" i="6" l="1"/>
  <c r="R80" i="6" s="1"/>
  <c r="Y85" i="7"/>
  <c r="Y58" i="7"/>
  <c r="V295" i="6"/>
  <c r="V261" i="6"/>
  <c r="V292" i="6" s="1"/>
  <c r="V294" i="6" s="1"/>
  <c r="V260" i="6"/>
  <c r="V154" i="6"/>
  <c r="V155" i="6" s="1"/>
  <c r="W151" i="6" s="1"/>
  <c r="W153" i="6" s="1"/>
  <c r="W168" i="6" s="1"/>
  <c r="U135" i="6"/>
  <c r="V133" i="6"/>
  <c r="V134" i="6" s="1"/>
  <c r="V165" i="6" s="1"/>
  <c r="V141" i="6" s="1"/>
  <c r="R170" i="6"/>
  <c r="S163" i="6" s="1"/>
  <c r="S164" i="6" s="1"/>
  <c r="E36" i="6"/>
  <c r="P33" i="13"/>
  <c r="Q33" i="13" s="1"/>
  <c r="M34" i="13" s="1"/>
  <c r="B35" i="13"/>
  <c r="K34" i="13"/>
  <c r="L34" i="13" s="1"/>
  <c r="O34" i="13" s="1"/>
  <c r="Z15" i="7"/>
  <c r="AM311" i="6"/>
  <c r="AM245" i="6"/>
  <c r="AH337" i="6"/>
  <c r="AH313" i="6"/>
  <c r="AH314" i="6" s="1"/>
  <c r="U319" i="6"/>
  <c r="V317" i="6" s="1"/>
  <c r="W116" i="6"/>
  <c r="W103" i="6"/>
  <c r="X101" i="6" s="1"/>
  <c r="X73" i="6" s="1"/>
  <c r="R83" i="6"/>
  <c r="R86" i="6" s="1"/>
  <c r="D7" i="7" s="1"/>
  <c r="AM121" i="6"/>
  <c r="AM66" i="6"/>
  <c r="AN44" i="6"/>
  <c r="R148" i="6"/>
  <c r="E38" i="6" s="1"/>
  <c r="AG54" i="6"/>
  <c r="AG58" i="6" s="1"/>
  <c r="AG55" i="6"/>
  <c r="AI47" i="6"/>
  <c r="AH53" i="6"/>
  <c r="U57" i="6"/>
  <c r="U59" i="6" s="1"/>
  <c r="V56" i="6" s="1"/>
  <c r="Z85" i="7" l="1"/>
  <c r="Z58" i="7"/>
  <c r="V297" i="6"/>
  <c r="V262" i="6" s="1"/>
  <c r="V263" i="6" s="1"/>
  <c r="V267" i="6" s="1"/>
  <c r="V296" i="6"/>
  <c r="V135" i="6"/>
  <c r="S167" i="6"/>
  <c r="S169" i="6" s="1"/>
  <c r="S142" i="6" s="1"/>
  <c r="R88" i="6"/>
  <c r="E30" i="6"/>
  <c r="D28" i="15" s="1"/>
  <c r="P34" i="13"/>
  <c r="Q34" i="13" s="1"/>
  <c r="M35" i="13" s="1"/>
  <c r="K35" i="13"/>
  <c r="L35" i="13" s="1"/>
  <c r="O35" i="13" s="1"/>
  <c r="B36" i="13"/>
  <c r="AA15" i="7"/>
  <c r="AI337" i="6"/>
  <c r="AI313" i="6"/>
  <c r="AI314" i="6" s="1"/>
  <c r="V318" i="6"/>
  <c r="V320" i="6" s="1"/>
  <c r="V326" i="6" s="1"/>
  <c r="V329" i="6" s="1"/>
  <c r="V332" i="6" s="1"/>
  <c r="V336" i="6" s="1"/>
  <c r="V338" i="6" s="1"/>
  <c r="AN311" i="6"/>
  <c r="AN245" i="6"/>
  <c r="W154" i="6"/>
  <c r="W155" i="6" s="1"/>
  <c r="X151" i="6" s="1"/>
  <c r="X153" i="6" s="1"/>
  <c r="X168" i="6" s="1"/>
  <c r="W133" i="6"/>
  <c r="W134" i="6" s="1"/>
  <c r="W165" i="6" s="1"/>
  <c r="W141" i="6" s="1"/>
  <c r="X103" i="6"/>
  <c r="Y101" i="6" s="1"/>
  <c r="Y73" i="6" s="1"/>
  <c r="X116" i="6"/>
  <c r="AN121" i="6"/>
  <c r="AN66" i="6"/>
  <c r="AO44" i="6"/>
  <c r="S129" i="6"/>
  <c r="T127" i="6" s="1"/>
  <c r="T128" i="6" s="1"/>
  <c r="T130" i="6" s="1"/>
  <c r="T131" i="6" s="1"/>
  <c r="T137" i="6" s="1"/>
  <c r="AH55" i="6"/>
  <c r="AH54" i="6"/>
  <c r="AH58" i="6" s="1"/>
  <c r="AJ47" i="6"/>
  <c r="AI53" i="6"/>
  <c r="V57" i="6"/>
  <c r="V59" i="6" s="1"/>
  <c r="AA58" i="7" l="1"/>
  <c r="AA85" i="7"/>
  <c r="V269" i="6"/>
  <c r="H11" i="7" s="1"/>
  <c r="H10" i="7"/>
  <c r="V298" i="6"/>
  <c r="W290" i="6" s="1"/>
  <c r="W291" i="6" s="1"/>
  <c r="V280" i="6"/>
  <c r="V281" i="6" s="1"/>
  <c r="W275" i="6" s="1"/>
  <c r="S170" i="6"/>
  <c r="T163" i="6" s="1"/>
  <c r="T164" i="6" s="1"/>
  <c r="W135" i="6"/>
  <c r="D8" i="7"/>
  <c r="P35" i="13"/>
  <c r="Q35" i="13" s="1"/>
  <c r="M36" i="13" s="1"/>
  <c r="B37" i="13"/>
  <c r="K36" i="13"/>
  <c r="L36" i="13" s="1"/>
  <c r="O36" i="13" s="1"/>
  <c r="AB15" i="7"/>
  <c r="AO311" i="6"/>
  <c r="AO245" i="6"/>
  <c r="V319" i="6"/>
  <c r="W317" i="6" s="1"/>
  <c r="AJ313" i="6"/>
  <c r="AJ314" i="6" s="1"/>
  <c r="AJ337" i="6"/>
  <c r="X154" i="6"/>
  <c r="X155" i="6" s="1"/>
  <c r="Y151" i="6" s="1"/>
  <c r="Y153" i="6" s="1"/>
  <c r="Y168" i="6" s="1"/>
  <c r="X133" i="6"/>
  <c r="X134" i="6" s="1"/>
  <c r="X165" i="6" s="1"/>
  <c r="X141" i="6" s="1"/>
  <c r="Y103" i="6"/>
  <c r="Z101" i="6" s="1"/>
  <c r="Z73" i="6" s="1"/>
  <c r="Y116" i="6"/>
  <c r="AO66" i="6"/>
  <c r="AO121" i="6"/>
  <c r="AP44" i="6"/>
  <c r="S140" i="6"/>
  <c r="S143" i="6" s="1"/>
  <c r="S146" i="6" s="1"/>
  <c r="AI55" i="6"/>
  <c r="AI54" i="6"/>
  <c r="AI58" i="6" s="1"/>
  <c r="AK47" i="6"/>
  <c r="AJ53" i="6"/>
  <c r="W56" i="6"/>
  <c r="AB58" i="7" l="1"/>
  <c r="AB85" i="7"/>
  <c r="W276" i="6"/>
  <c r="W252" i="6" s="1"/>
  <c r="W254" i="6" s="1"/>
  <c r="W255" i="6" s="1"/>
  <c r="W257" i="6" s="1"/>
  <c r="W277" i="6"/>
  <c r="S148" i="6"/>
  <c r="X135" i="6"/>
  <c r="E32" i="6"/>
  <c r="P36" i="13"/>
  <c r="Q36" i="13" s="1"/>
  <c r="M37" i="13" s="1"/>
  <c r="B38" i="13"/>
  <c r="K37" i="13"/>
  <c r="L37" i="13" s="1"/>
  <c r="O37" i="13" s="1"/>
  <c r="AC15" i="7"/>
  <c r="W318" i="6"/>
  <c r="W320" i="6" s="1"/>
  <c r="W326" i="6" s="1"/>
  <c r="W329" i="6" s="1"/>
  <c r="W332" i="6" s="1"/>
  <c r="W336" i="6" s="1"/>
  <c r="W338" i="6" s="1"/>
  <c r="AK337" i="6"/>
  <c r="AK313" i="6"/>
  <c r="AK314" i="6" s="1"/>
  <c r="AP311" i="6"/>
  <c r="AP245" i="6"/>
  <c r="T167" i="6"/>
  <c r="Y154" i="6"/>
  <c r="Y155" i="6" s="1"/>
  <c r="Z151" i="6" s="1"/>
  <c r="Z153" i="6" s="1"/>
  <c r="Z168" i="6" s="1"/>
  <c r="Y133" i="6"/>
  <c r="Y134" i="6" s="1"/>
  <c r="Y165" i="6" s="1"/>
  <c r="Y141" i="6" s="1"/>
  <c r="T129" i="6"/>
  <c r="U127" i="6" s="1"/>
  <c r="U128" i="6" s="1"/>
  <c r="U130" i="6" s="1"/>
  <c r="U131" i="6" s="1"/>
  <c r="U137" i="6" s="1"/>
  <c r="Z116" i="6"/>
  <c r="Z103" i="6"/>
  <c r="AA101" i="6" s="1"/>
  <c r="AA73" i="6" s="1"/>
  <c r="AP66" i="6"/>
  <c r="AP121" i="6"/>
  <c r="AQ44" i="6"/>
  <c r="T140" i="6"/>
  <c r="AJ55" i="6"/>
  <c r="AJ54" i="6"/>
  <c r="AJ58" i="6" s="1"/>
  <c r="AL47" i="6"/>
  <c r="AK53" i="6"/>
  <c r="W57" i="6"/>
  <c r="W59" i="6" s="1"/>
  <c r="AC85" i="7" l="1"/>
  <c r="AC58" i="7"/>
  <c r="W278" i="6"/>
  <c r="W279" i="6" s="1"/>
  <c r="W295" i="6" s="1"/>
  <c r="W260" i="6"/>
  <c r="W261" i="6"/>
  <c r="W292" i="6" s="1"/>
  <c r="W294" i="6" s="1"/>
  <c r="T169" i="6"/>
  <c r="T142" i="6" s="1"/>
  <c r="T143" i="6" s="1"/>
  <c r="T146" i="6" s="1"/>
  <c r="Y135" i="6"/>
  <c r="P37" i="13"/>
  <c r="Q37" i="13" s="1"/>
  <c r="M38" i="13" s="1"/>
  <c r="B39" i="13"/>
  <c r="K38" i="13"/>
  <c r="L38" i="13" s="1"/>
  <c r="O38" i="13" s="1"/>
  <c r="AD15" i="7"/>
  <c r="W319" i="6"/>
  <c r="X317" i="6" s="1"/>
  <c r="X318" i="6" s="1"/>
  <c r="X320" i="6" s="1"/>
  <c r="X326" i="6" s="1"/>
  <c r="X329" i="6" s="1"/>
  <c r="X332" i="6" s="1"/>
  <c r="X336" i="6" s="1"/>
  <c r="X338" i="6" s="1"/>
  <c r="AL313" i="6"/>
  <c r="AL314" i="6" s="1"/>
  <c r="AL337" i="6"/>
  <c r="AQ245" i="6"/>
  <c r="AQ311" i="6"/>
  <c r="Z154" i="6"/>
  <c r="Z155" i="6" s="1"/>
  <c r="AA151" i="6" s="1"/>
  <c r="Z133" i="6"/>
  <c r="Z134" i="6" s="1"/>
  <c r="Z165" i="6" s="1"/>
  <c r="Z141" i="6" s="1"/>
  <c r="U129" i="6"/>
  <c r="V127" i="6" s="1"/>
  <c r="AA116" i="6"/>
  <c r="AA103" i="6"/>
  <c r="AB101" i="6" s="1"/>
  <c r="AB73" i="6" s="1"/>
  <c r="AQ121" i="6"/>
  <c r="AQ66" i="6"/>
  <c r="AR44" i="6"/>
  <c r="AK55" i="6"/>
  <c r="AK54" i="6"/>
  <c r="AK58" i="6" s="1"/>
  <c r="AM47" i="6"/>
  <c r="AL53" i="6"/>
  <c r="X56" i="6"/>
  <c r="AD58" i="7" l="1"/>
  <c r="AD85" i="7"/>
  <c r="W296" i="6"/>
  <c r="W280" i="6" s="1"/>
  <c r="W297" i="6"/>
  <c r="W262" i="6" s="1"/>
  <c r="W263" i="6" s="1"/>
  <c r="W267" i="6" s="1"/>
  <c r="T170" i="6"/>
  <c r="U163" i="6" s="1"/>
  <c r="U164" i="6" s="1"/>
  <c r="T148" i="6"/>
  <c r="Z135" i="6"/>
  <c r="P38" i="13"/>
  <c r="Q38" i="13" s="1"/>
  <c r="M39" i="13" s="1"/>
  <c r="K39" i="13"/>
  <c r="L39" i="13" s="1"/>
  <c r="O39" i="13" s="1"/>
  <c r="B40" i="13"/>
  <c r="AE15" i="7"/>
  <c r="AR311" i="6"/>
  <c r="AR245" i="6"/>
  <c r="AM313" i="6"/>
  <c r="AM314" i="6" s="1"/>
  <c r="AM337" i="6"/>
  <c r="X319" i="6"/>
  <c r="Y317" i="6" s="1"/>
  <c r="AA153" i="6"/>
  <c r="AA168" i="6" s="1"/>
  <c r="V128" i="6"/>
  <c r="U140" i="6"/>
  <c r="AB103" i="6"/>
  <c r="AC101" i="6" s="1"/>
  <c r="AC73" i="6" s="1"/>
  <c r="AB116" i="6"/>
  <c r="AR121" i="6"/>
  <c r="AR66" i="6"/>
  <c r="AS44" i="6"/>
  <c r="AL55" i="6"/>
  <c r="AL54" i="6"/>
  <c r="AL58" i="6" s="1"/>
  <c r="AN47" i="6"/>
  <c r="AM53" i="6"/>
  <c r="X57" i="6"/>
  <c r="X59" i="6" s="1"/>
  <c r="Y56" i="6" s="1"/>
  <c r="AE58" i="7" l="1"/>
  <c r="AE85" i="7"/>
  <c r="W269" i="6"/>
  <c r="I11" i="7" s="1"/>
  <c r="I10" i="7"/>
  <c r="W298" i="6"/>
  <c r="X290" i="6" s="1"/>
  <c r="X291" i="6" s="1"/>
  <c r="W281" i="6"/>
  <c r="X275" i="6" s="1"/>
  <c r="U167" i="6"/>
  <c r="U169" i="6" s="1"/>
  <c r="U142" i="6" s="1"/>
  <c r="U143" i="6" s="1"/>
  <c r="U146" i="6" s="1"/>
  <c r="V130" i="6"/>
  <c r="V131" i="6" s="1"/>
  <c r="V137" i="6" s="1"/>
  <c r="V140" i="6" s="1"/>
  <c r="P39" i="13"/>
  <c r="Q39" i="13" s="1"/>
  <c r="M40" i="13" s="1"/>
  <c r="B41" i="13"/>
  <c r="K40" i="13"/>
  <c r="L40" i="13" s="1"/>
  <c r="O40" i="13" s="1"/>
  <c r="AF15" i="7"/>
  <c r="AS311" i="6"/>
  <c r="AS245" i="6"/>
  <c r="AN313" i="6"/>
  <c r="AN314" i="6" s="1"/>
  <c r="AN337" i="6"/>
  <c r="Y318" i="6"/>
  <c r="Y320" i="6" s="1"/>
  <c r="Y326" i="6" s="1"/>
  <c r="Y329" i="6" s="1"/>
  <c r="Y332" i="6" s="1"/>
  <c r="Y336" i="6" s="1"/>
  <c r="Y338" i="6" s="1"/>
  <c r="AA154" i="6"/>
  <c r="AA155" i="6" s="1"/>
  <c r="AB151" i="6" s="1"/>
  <c r="AB153" i="6" s="1"/>
  <c r="AB168" i="6" s="1"/>
  <c r="AA133" i="6"/>
  <c r="AA134" i="6" s="1"/>
  <c r="AA165" i="6" s="1"/>
  <c r="AA141" i="6" s="1"/>
  <c r="V129" i="6"/>
  <c r="W127" i="6" s="1"/>
  <c r="W128" i="6" s="1"/>
  <c r="AC116" i="6"/>
  <c r="AC103" i="6"/>
  <c r="AD101" i="6" s="1"/>
  <c r="AD73" i="6" s="1"/>
  <c r="AS66" i="6"/>
  <c r="AS121" i="6"/>
  <c r="AT44" i="6"/>
  <c r="AM55" i="6"/>
  <c r="AM54" i="6"/>
  <c r="AM58" i="6" s="1"/>
  <c r="AO47" i="6"/>
  <c r="AN53" i="6"/>
  <c r="Y57" i="6"/>
  <c r="Y59" i="6" s="1"/>
  <c r="AF85" i="7" l="1"/>
  <c r="AF58" i="7"/>
  <c r="X276" i="6"/>
  <c r="X277" i="6"/>
  <c r="U170" i="6"/>
  <c r="V163" i="6" s="1"/>
  <c r="U148" i="6"/>
  <c r="AA135" i="6"/>
  <c r="W130" i="6"/>
  <c r="W131" i="6" s="1"/>
  <c r="W137" i="6" s="1"/>
  <c r="W140" i="6" s="1"/>
  <c r="P40" i="13"/>
  <c r="Q40" i="13" s="1"/>
  <c r="M41" i="13" s="1"/>
  <c r="K41" i="13"/>
  <c r="L41" i="13" s="1"/>
  <c r="O41" i="13" s="1"/>
  <c r="B42" i="13"/>
  <c r="AG15" i="7"/>
  <c r="AT311" i="6"/>
  <c r="AT245" i="6"/>
  <c r="Y319" i="6"/>
  <c r="Z317" i="6" s="1"/>
  <c r="AO313" i="6"/>
  <c r="AO314" i="6" s="1"/>
  <c r="AO337" i="6"/>
  <c r="AB154" i="6"/>
  <c r="AB155" i="6" s="1"/>
  <c r="AC151" i="6" s="1"/>
  <c r="AC153" i="6" s="1"/>
  <c r="AC168" i="6" s="1"/>
  <c r="AB133" i="6"/>
  <c r="AB134" i="6" s="1"/>
  <c r="AB165" i="6" s="1"/>
  <c r="AB141" i="6" s="1"/>
  <c r="W129" i="6"/>
  <c r="X127" i="6" s="1"/>
  <c r="X128" i="6" s="1"/>
  <c r="X130" i="6" s="1"/>
  <c r="X131" i="6" s="1"/>
  <c r="X137" i="6" s="1"/>
  <c r="AD116" i="6"/>
  <c r="AD103" i="6"/>
  <c r="AE101" i="6" s="1"/>
  <c r="AE73" i="6" s="1"/>
  <c r="AT66" i="6"/>
  <c r="AT121" i="6"/>
  <c r="AU44" i="6"/>
  <c r="AN55" i="6"/>
  <c r="AN54" i="6"/>
  <c r="AN58" i="6" s="1"/>
  <c r="AP47" i="6"/>
  <c r="AO53" i="6"/>
  <c r="Z56" i="6"/>
  <c r="V164" i="6" l="1"/>
  <c r="V167" i="6" s="1"/>
  <c r="AG85" i="7"/>
  <c r="AG58" i="7"/>
  <c r="X252" i="6"/>
  <c r="X254" i="6" s="1"/>
  <c r="X255" i="6" s="1"/>
  <c r="X257" i="6" s="1"/>
  <c r="X278" i="6"/>
  <c r="X279" i="6" s="1"/>
  <c r="P41" i="13"/>
  <c r="Q41" i="13" s="1"/>
  <c r="M42" i="13" s="1"/>
  <c r="AB135" i="6"/>
  <c r="B43" i="13"/>
  <c r="K42" i="13"/>
  <c r="L42" i="13" s="1"/>
  <c r="O42" i="13" s="1"/>
  <c r="AH15" i="7"/>
  <c r="AP313" i="6"/>
  <c r="AP314" i="6" s="1"/>
  <c r="AP337" i="6"/>
  <c r="AU245" i="6"/>
  <c r="AU311" i="6"/>
  <c r="Z318" i="6"/>
  <c r="Z320" i="6" s="1"/>
  <c r="Z326" i="6" s="1"/>
  <c r="Z329" i="6" s="1"/>
  <c r="Z332" i="6" s="1"/>
  <c r="Z336" i="6" s="1"/>
  <c r="Z338" i="6" s="1"/>
  <c r="AC154" i="6"/>
  <c r="AC155" i="6" s="1"/>
  <c r="AD151" i="6" s="1"/>
  <c r="AC133" i="6"/>
  <c r="AC134" i="6" s="1"/>
  <c r="AC165" i="6" s="1"/>
  <c r="AC141" i="6" s="1"/>
  <c r="X140" i="6"/>
  <c r="X129" i="6"/>
  <c r="Y127" i="6" s="1"/>
  <c r="Y128" i="6" s="1"/>
  <c r="AE116" i="6"/>
  <c r="AE103" i="6"/>
  <c r="AF101" i="6" s="1"/>
  <c r="AF73" i="6" s="1"/>
  <c r="AU121" i="6"/>
  <c r="AU66" i="6"/>
  <c r="AV44" i="6"/>
  <c r="AO55" i="6"/>
  <c r="AO54" i="6"/>
  <c r="AO58" i="6" s="1"/>
  <c r="AQ47" i="6"/>
  <c r="AP53" i="6"/>
  <c r="Z57" i="6"/>
  <c r="Z59" i="6" s="1"/>
  <c r="V169" i="6" l="1"/>
  <c r="V142" i="6" s="1"/>
  <c r="V143" i="6" s="1"/>
  <c r="V146" i="6" s="1"/>
  <c r="V148" i="6" s="1"/>
  <c r="AH85" i="7"/>
  <c r="AH58" i="7"/>
  <c r="X295" i="6"/>
  <c r="X260" i="6"/>
  <c r="X261" i="6"/>
  <c r="X292" i="6" s="1"/>
  <c r="X294" i="6" s="1"/>
  <c r="P42" i="13"/>
  <c r="Q42" i="13" s="1"/>
  <c r="M43" i="13" s="1"/>
  <c r="AC135" i="6"/>
  <c r="Y130" i="6"/>
  <c r="Y131" i="6" s="1"/>
  <c r="Y137" i="6" s="1"/>
  <c r="Y140" i="6" s="1"/>
  <c r="B44" i="13"/>
  <c r="K43" i="13"/>
  <c r="L43" i="13" s="1"/>
  <c r="O43" i="13" s="1"/>
  <c r="AI15" i="7"/>
  <c r="Z319" i="6"/>
  <c r="AA317" i="6" s="1"/>
  <c r="AA318" i="6" s="1"/>
  <c r="AA320" i="6" s="1"/>
  <c r="AA326" i="6" s="1"/>
  <c r="AA329" i="6" s="1"/>
  <c r="AA332" i="6" s="1"/>
  <c r="AA336" i="6" s="1"/>
  <c r="AA338" i="6" s="1"/>
  <c r="AV311" i="6"/>
  <c r="AV245" i="6"/>
  <c r="AQ313" i="6"/>
  <c r="AQ314" i="6" s="1"/>
  <c r="AQ337" i="6"/>
  <c r="AD153" i="6"/>
  <c r="AD168" i="6" s="1"/>
  <c r="Y129" i="6"/>
  <c r="Z127" i="6" s="1"/>
  <c r="AF116" i="6"/>
  <c r="AF103" i="6"/>
  <c r="AG101" i="6" s="1"/>
  <c r="AG73" i="6" s="1"/>
  <c r="AV121" i="6"/>
  <c r="AV66" i="6"/>
  <c r="AW44" i="6"/>
  <c r="AP54" i="6"/>
  <c r="AP58" i="6" s="1"/>
  <c r="AP55" i="6"/>
  <c r="AR47" i="6"/>
  <c r="AQ53" i="6"/>
  <c r="AA56" i="6"/>
  <c r="V170" i="6" l="1"/>
  <c r="W163" i="6" s="1"/>
  <c r="AI58" i="7"/>
  <c r="AI85" i="7"/>
  <c r="X296" i="6"/>
  <c r="X280" i="6" s="1"/>
  <c r="X297" i="6"/>
  <c r="X262" i="6" s="1"/>
  <c r="X263" i="6" s="1"/>
  <c r="X267" i="6" s="1"/>
  <c r="P43" i="13"/>
  <c r="Q43" i="13" s="1"/>
  <c r="M44" i="13" s="1"/>
  <c r="K44" i="13"/>
  <c r="L44" i="13" s="1"/>
  <c r="O44" i="13" s="1"/>
  <c r="B45" i="13"/>
  <c r="AJ15" i="7"/>
  <c r="G31" i="6"/>
  <c r="G37" i="6"/>
  <c r="AR313" i="6"/>
  <c r="AR314" i="6" s="1"/>
  <c r="AR337" i="6"/>
  <c r="AA319" i="6"/>
  <c r="AB317" i="6" s="1"/>
  <c r="AW311" i="6"/>
  <c r="AW245" i="6"/>
  <c r="AD154" i="6"/>
  <c r="AD155" i="6" s="1"/>
  <c r="AE151" i="6" s="1"/>
  <c r="AD133" i="6"/>
  <c r="AD134" i="6" s="1"/>
  <c r="AD165" i="6" s="1"/>
  <c r="AD141" i="6" s="1"/>
  <c r="Z128" i="6"/>
  <c r="AG103" i="6"/>
  <c r="AH101" i="6" s="1"/>
  <c r="AH73" i="6" s="1"/>
  <c r="AG116" i="6"/>
  <c r="AW66" i="6"/>
  <c r="AW121" i="6"/>
  <c r="AX44" i="6"/>
  <c r="AS47" i="6"/>
  <c r="AR53" i="6"/>
  <c r="AQ55" i="6"/>
  <c r="AQ54" i="6"/>
  <c r="AQ58" i="6" s="1"/>
  <c r="AA57" i="6"/>
  <c r="AA59" i="6" s="1"/>
  <c r="W164" i="6" l="1"/>
  <c r="W167" i="6" s="1"/>
  <c r="AJ58" i="7"/>
  <c r="AJ85" i="7"/>
  <c r="X269" i="6"/>
  <c r="J11" i="7" s="1"/>
  <c r="J10" i="7"/>
  <c r="X298" i="6"/>
  <c r="Y290" i="6" s="1"/>
  <c r="Y291" i="6" s="1"/>
  <c r="X281" i="6"/>
  <c r="Y275" i="6" s="1"/>
  <c r="P44" i="13"/>
  <c r="Q44" i="13" s="1"/>
  <c r="M45" i="13" s="1"/>
  <c r="AD135" i="6"/>
  <c r="Z130" i="6"/>
  <c r="Z131" i="6" s="1"/>
  <c r="Z137" i="6" s="1"/>
  <c r="Z140" i="6" s="1"/>
  <c r="B46" i="13"/>
  <c r="K45" i="13"/>
  <c r="L45" i="13" s="1"/>
  <c r="O45" i="13" s="1"/>
  <c r="AK15" i="7"/>
  <c r="AX311" i="6"/>
  <c r="AX245" i="6"/>
  <c r="AB318" i="6"/>
  <c r="AB320" i="6" s="1"/>
  <c r="AB326" i="6" s="1"/>
  <c r="AB329" i="6" s="1"/>
  <c r="AB332" i="6" s="1"/>
  <c r="AB336" i="6" s="1"/>
  <c r="AB338" i="6" s="1"/>
  <c r="AS337" i="6"/>
  <c r="AS313" i="6"/>
  <c r="AS314" i="6" s="1"/>
  <c r="AE153" i="6"/>
  <c r="AE168" i="6" s="1"/>
  <c r="Z129" i="6"/>
  <c r="AA127" i="6" s="1"/>
  <c r="AA128" i="6" s="1"/>
  <c r="AA130" i="6" s="1"/>
  <c r="AA131" i="6" s="1"/>
  <c r="AA137" i="6" s="1"/>
  <c r="AH116" i="6"/>
  <c r="AH103" i="6"/>
  <c r="AI101" i="6" s="1"/>
  <c r="AI73" i="6" s="1"/>
  <c r="AX66" i="6"/>
  <c r="AX121" i="6"/>
  <c r="AY44" i="6"/>
  <c r="AR55" i="6"/>
  <c r="AR54" i="6"/>
  <c r="AR58" i="6" s="1"/>
  <c r="AT47" i="6"/>
  <c r="AS53" i="6"/>
  <c r="AB56" i="6"/>
  <c r="W169" i="6" l="1"/>
  <c r="W142" i="6" s="1"/>
  <c r="W143" i="6" s="1"/>
  <c r="W146" i="6" s="1"/>
  <c r="W148" i="6" s="1"/>
  <c r="AK85" i="7"/>
  <c r="AK58" i="7"/>
  <c r="P45" i="13"/>
  <c r="Q45" i="13" s="1"/>
  <c r="M46" i="13" s="1"/>
  <c r="Y276" i="6"/>
  <c r="Y277" i="6"/>
  <c r="B47" i="13"/>
  <c r="K46" i="13"/>
  <c r="L46" i="13" s="1"/>
  <c r="O46" i="13" s="1"/>
  <c r="AL15" i="7"/>
  <c r="AT313" i="6"/>
  <c r="AT314" i="6" s="1"/>
  <c r="AT337" i="6"/>
  <c r="AB319" i="6"/>
  <c r="AC317" i="6" s="1"/>
  <c r="AY245" i="6"/>
  <c r="AY311" i="6"/>
  <c r="AE154" i="6"/>
  <c r="AE155" i="6" s="1"/>
  <c r="AF151" i="6" s="1"/>
  <c r="AF153" i="6" s="1"/>
  <c r="AF168" i="6" s="1"/>
  <c r="AE133" i="6"/>
  <c r="AE134" i="6" s="1"/>
  <c r="AE165" i="6" s="1"/>
  <c r="AE141" i="6" s="1"/>
  <c r="AA140" i="6"/>
  <c r="AA129" i="6"/>
  <c r="AB127" i="6" s="1"/>
  <c r="AB128" i="6" s="1"/>
  <c r="AI116" i="6"/>
  <c r="AI103" i="6"/>
  <c r="AJ101" i="6" s="1"/>
  <c r="AJ73" i="6" s="1"/>
  <c r="AY121" i="6"/>
  <c r="AY66" i="6"/>
  <c r="AZ44" i="6"/>
  <c r="AS55" i="6"/>
  <c r="AS54" i="6"/>
  <c r="AS58" i="6" s="1"/>
  <c r="AU47" i="6"/>
  <c r="AT53" i="6"/>
  <c r="AB57" i="6"/>
  <c r="AB59" i="6" s="1"/>
  <c r="AC56" i="6" s="1"/>
  <c r="W170" i="6" l="1"/>
  <c r="X163" i="6" s="1"/>
  <c r="AL58" i="7"/>
  <c r="AL85" i="7"/>
  <c r="P46" i="13"/>
  <c r="Q46" i="13" s="1"/>
  <c r="M47" i="13" s="1"/>
  <c r="Y252" i="6"/>
  <c r="Y254" i="6" s="1"/>
  <c r="Y255" i="6" s="1"/>
  <c r="Y257" i="6" s="1"/>
  <c r="Y278" i="6"/>
  <c r="Y279" i="6" s="1"/>
  <c r="AE135" i="6"/>
  <c r="AB130" i="6"/>
  <c r="AB131" i="6" s="1"/>
  <c r="AB137" i="6" s="1"/>
  <c r="AB140" i="6" s="1"/>
  <c r="B48" i="13"/>
  <c r="K47" i="13"/>
  <c r="L47" i="13" s="1"/>
  <c r="O47" i="13" s="1"/>
  <c r="AM15" i="7"/>
  <c r="AC318" i="6"/>
  <c r="AC320" i="6" s="1"/>
  <c r="AC326" i="6" s="1"/>
  <c r="AC329" i="6" s="1"/>
  <c r="AC332" i="6" s="1"/>
  <c r="AC336" i="6" s="1"/>
  <c r="AC338" i="6" s="1"/>
  <c r="AU313" i="6"/>
  <c r="AU314" i="6" s="1"/>
  <c r="AU337" i="6"/>
  <c r="AZ311" i="6"/>
  <c r="AZ245" i="6"/>
  <c r="AF154" i="6"/>
  <c r="AF155" i="6" s="1"/>
  <c r="AG151" i="6" s="1"/>
  <c r="AG153" i="6" s="1"/>
  <c r="AG168" i="6" s="1"/>
  <c r="AF133" i="6"/>
  <c r="AF134" i="6" s="1"/>
  <c r="AF165" i="6" s="1"/>
  <c r="AF141" i="6" s="1"/>
  <c r="AB129" i="6"/>
  <c r="AC127" i="6" s="1"/>
  <c r="AC128" i="6" s="1"/>
  <c r="AJ103" i="6"/>
  <c r="AK101" i="6" s="1"/>
  <c r="AK73" i="6" s="1"/>
  <c r="AJ116" i="6"/>
  <c r="AZ121" i="6"/>
  <c r="AZ66" i="6"/>
  <c r="BA44" i="6"/>
  <c r="AT55" i="6"/>
  <c r="AT54" i="6"/>
  <c r="AT58" i="6" s="1"/>
  <c r="AV47" i="6"/>
  <c r="AU53" i="6"/>
  <c r="AC57" i="6"/>
  <c r="AC59" i="6" s="1"/>
  <c r="X164" i="6" l="1"/>
  <c r="X167" i="6" s="1"/>
  <c r="AM58" i="7"/>
  <c r="AM85" i="7"/>
  <c r="P47" i="13"/>
  <c r="Q47" i="13" s="1"/>
  <c r="M48" i="13" s="1"/>
  <c r="Y295" i="6"/>
  <c r="Y260" i="6"/>
  <c r="Y261" i="6"/>
  <c r="Y292" i="6" s="1"/>
  <c r="Y294" i="6" s="1"/>
  <c r="AV141" i="6"/>
  <c r="AV135" i="6"/>
  <c r="AC130" i="6"/>
  <c r="AC131" i="6" s="1"/>
  <c r="AC137" i="6" s="1"/>
  <c r="AC140" i="6" s="1"/>
  <c r="AF135" i="6"/>
  <c r="K48" i="13"/>
  <c r="L48" i="13" s="1"/>
  <c r="O48" i="13" s="1"/>
  <c r="B49" i="13"/>
  <c r="AN15" i="7"/>
  <c r="BA311" i="6"/>
  <c r="BA245" i="6"/>
  <c r="AC319" i="6"/>
  <c r="AD317" i="6" s="1"/>
  <c r="AV337" i="6"/>
  <c r="AV313" i="6"/>
  <c r="AV314" i="6" s="1"/>
  <c r="AG154" i="6"/>
  <c r="AG155" i="6" s="1"/>
  <c r="AH151" i="6" s="1"/>
  <c r="AH153" i="6" s="1"/>
  <c r="AH168" i="6" s="1"/>
  <c r="AG133" i="6"/>
  <c r="AG134" i="6" s="1"/>
  <c r="AG165" i="6" s="1"/>
  <c r="AG141" i="6" s="1"/>
  <c r="AC129" i="6"/>
  <c r="AD127" i="6" s="1"/>
  <c r="AD128" i="6" s="1"/>
  <c r="AK116" i="6"/>
  <c r="AK103" i="6"/>
  <c r="AL101" i="6" s="1"/>
  <c r="AL73" i="6" s="1"/>
  <c r="BA66" i="6"/>
  <c r="BA121" i="6"/>
  <c r="BB44" i="6"/>
  <c r="AU55" i="6"/>
  <c r="AU54" i="6"/>
  <c r="AU58" i="6" s="1"/>
  <c r="AW47" i="6"/>
  <c r="AV53" i="6"/>
  <c r="AD56" i="6"/>
  <c r="X169" i="6" l="1"/>
  <c r="X142" i="6" s="1"/>
  <c r="X143" i="6" s="1"/>
  <c r="X146" i="6" s="1"/>
  <c r="X148" i="6" s="1"/>
  <c r="P48" i="13"/>
  <c r="Q48" i="13" s="1"/>
  <c r="M49" i="13" s="1"/>
  <c r="AN85" i="7"/>
  <c r="AN58" i="7"/>
  <c r="Y296" i="6"/>
  <c r="Y280" i="6" s="1"/>
  <c r="Y297" i="6"/>
  <c r="Y262" i="6" s="1"/>
  <c r="Y263" i="6" s="1"/>
  <c r="Y267" i="6" s="1"/>
  <c r="AW141" i="6"/>
  <c r="AW135" i="6"/>
  <c r="AD130" i="6"/>
  <c r="AD131" i="6" s="1"/>
  <c r="AD137" i="6" s="1"/>
  <c r="AD140" i="6" s="1"/>
  <c r="AG135" i="6"/>
  <c r="B50" i="13"/>
  <c r="K49" i="13"/>
  <c r="L49" i="13" s="1"/>
  <c r="O49" i="13" s="1"/>
  <c r="AO15" i="7"/>
  <c r="BB311" i="6"/>
  <c r="BB245" i="6"/>
  <c r="AD318" i="6"/>
  <c r="AD320" i="6" s="1"/>
  <c r="AD326" i="6" s="1"/>
  <c r="AD329" i="6" s="1"/>
  <c r="AD332" i="6" s="1"/>
  <c r="AD336" i="6" s="1"/>
  <c r="AD338" i="6" s="1"/>
  <c r="AW313" i="6"/>
  <c r="AW314" i="6" s="1"/>
  <c r="AW337" i="6"/>
  <c r="AD129" i="6"/>
  <c r="AE127" i="6" s="1"/>
  <c r="AE128" i="6" s="1"/>
  <c r="AH154" i="6"/>
  <c r="AH155" i="6" s="1"/>
  <c r="AI151" i="6" s="1"/>
  <c r="AI153" i="6" s="1"/>
  <c r="AI168" i="6" s="1"/>
  <c r="AH133" i="6"/>
  <c r="AH134" i="6" s="1"/>
  <c r="AH165" i="6" s="1"/>
  <c r="AH141" i="6" s="1"/>
  <c r="AL116" i="6"/>
  <c r="AL103" i="6"/>
  <c r="AM101" i="6" s="1"/>
  <c r="AM73" i="6" s="1"/>
  <c r="BB66" i="6"/>
  <c r="BB121" i="6"/>
  <c r="BC44" i="6"/>
  <c r="AV55" i="6"/>
  <c r="AV54" i="6"/>
  <c r="AV58" i="6" s="1"/>
  <c r="AX47" i="6"/>
  <c r="AW53" i="6"/>
  <c r="AD57" i="6"/>
  <c r="AD59" i="6" s="1"/>
  <c r="X170" i="6" l="1"/>
  <c r="Y163" i="6" s="1"/>
  <c r="P49" i="13"/>
  <c r="Q49" i="13" s="1"/>
  <c r="M50" i="13" s="1"/>
  <c r="AO85" i="7"/>
  <c r="AO58" i="7"/>
  <c r="Y269" i="6"/>
  <c r="K11" i="7" s="1"/>
  <c r="K10" i="7"/>
  <c r="Y298" i="6"/>
  <c r="Z290" i="6" s="1"/>
  <c r="Z291" i="6" s="1"/>
  <c r="Y281" i="6"/>
  <c r="Z275" i="6" s="1"/>
  <c r="AX141" i="6"/>
  <c r="AX135" i="6"/>
  <c r="AH135" i="6"/>
  <c r="AE130" i="6"/>
  <c r="AE131" i="6" s="1"/>
  <c r="AE137" i="6" s="1"/>
  <c r="AE140" i="6" s="1"/>
  <c r="B51" i="13"/>
  <c r="K50" i="13"/>
  <c r="L50" i="13" s="1"/>
  <c r="O50" i="13" s="1"/>
  <c r="AP15" i="7"/>
  <c r="AX337" i="6"/>
  <c r="AX313" i="6"/>
  <c r="AX314" i="6" s="1"/>
  <c r="BC245" i="6"/>
  <c r="BC311" i="6"/>
  <c r="AD319" i="6"/>
  <c r="AE317" i="6" s="1"/>
  <c r="AE129" i="6"/>
  <c r="AF127" i="6" s="1"/>
  <c r="AF128" i="6" s="1"/>
  <c r="AI154" i="6"/>
  <c r="AI155" i="6" s="1"/>
  <c r="AJ151" i="6" s="1"/>
  <c r="AI133" i="6"/>
  <c r="AI134" i="6" s="1"/>
  <c r="AI165" i="6" s="1"/>
  <c r="AI141" i="6" s="1"/>
  <c r="AM116" i="6"/>
  <c r="AM103" i="6"/>
  <c r="AN101" i="6" s="1"/>
  <c r="AN73" i="6" s="1"/>
  <c r="BC121" i="6"/>
  <c r="BC66" i="6"/>
  <c r="BD44" i="6"/>
  <c r="AW55" i="6"/>
  <c r="AW54" i="6"/>
  <c r="AW58" i="6" s="1"/>
  <c r="AY47" i="6"/>
  <c r="AX53" i="6"/>
  <c r="AE56" i="6"/>
  <c r="Y164" i="6" l="1"/>
  <c r="Y167" i="6" s="1"/>
  <c r="P50" i="13"/>
  <c r="Q50" i="13" s="1"/>
  <c r="M51" i="13" s="1"/>
  <c r="AP58" i="7"/>
  <c r="AP85" i="7"/>
  <c r="Z276" i="6"/>
  <c r="Z277" i="6"/>
  <c r="AY141" i="6"/>
  <c r="AY135" i="6"/>
  <c r="AF130" i="6"/>
  <c r="AF131" i="6" s="1"/>
  <c r="AF137" i="6" s="1"/>
  <c r="AF140" i="6" s="1"/>
  <c r="AI135" i="6"/>
  <c r="B52" i="13"/>
  <c r="K51" i="13"/>
  <c r="L51" i="13" s="1"/>
  <c r="O51" i="13" s="1"/>
  <c r="AQ15" i="7"/>
  <c r="BD311" i="6"/>
  <c r="BD245" i="6"/>
  <c r="AE318" i="6"/>
  <c r="AE320" i="6" s="1"/>
  <c r="AE326" i="6" s="1"/>
  <c r="AE329" i="6" s="1"/>
  <c r="AE332" i="6" s="1"/>
  <c r="AE336" i="6" s="1"/>
  <c r="AE338" i="6" s="1"/>
  <c r="AY313" i="6"/>
  <c r="AY314" i="6" s="1"/>
  <c r="AY337" i="6"/>
  <c r="AF129" i="6"/>
  <c r="AG127" i="6" s="1"/>
  <c r="AG128" i="6" s="1"/>
  <c r="AJ153" i="6"/>
  <c r="AJ168" i="6" s="1"/>
  <c r="AN116" i="6"/>
  <c r="AN103" i="6"/>
  <c r="AO101" i="6" s="1"/>
  <c r="AO73" i="6" s="1"/>
  <c r="BD121" i="6"/>
  <c r="BD66" i="6"/>
  <c r="BE44" i="6"/>
  <c r="AX55" i="6"/>
  <c r="AX54" i="6"/>
  <c r="AX58" i="6" s="1"/>
  <c r="AZ47" i="6"/>
  <c r="AY53" i="6"/>
  <c r="AE57" i="6"/>
  <c r="AE59" i="6" s="1"/>
  <c r="P51" i="13" l="1"/>
  <c r="Q51" i="13" s="1"/>
  <c r="M52" i="13" s="1"/>
  <c r="Y169" i="6"/>
  <c r="Y142" i="6" s="1"/>
  <c r="Y143" i="6" s="1"/>
  <c r="Y146" i="6" s="1"/>
  <c r="Y148" i="6" s="1"/>
  <c r="AQ58" i="7"/>
  <c r="AQ85" i="7"/>
  <c r="Z252" i="6"/>
  <c r="Z254" i="6" s="1"/>
  <c r="Z255" i="6" s="1"/>
  <c r="Z257" i="6" s="1"/>
  <c r="Z278" i="6"/>
  <c r="Z279" i="6" s="1"/>
  <c r="AZ141" i="6"/>
  <c r="AZ135" i="6"/>
  <c r="AG129" i="6"/>
  <c r="AH127" i="6" s="1"/>
  <c r="AH128" i="6" s="1"/>
  <c r="AH129" i="6" s="1"/>
  <c r="AI127" i="6" s="1"/>
  <c r="AI128" i="6" s="1"/>
  <c r="AI130" i="6" s="1"/>
  <c r="AI131" i="6" s="1"/>
  <c r="AI137" i="6" s="1"/>
  <c r="AG130" i="6"/>
  <c r="AG131" i="6" s="1"/>
  <c r="AG137" i="6" s="1"/>
  <c r="AG140" i="6" s="1"/>
  <c r="K52" i="13"/>
  <c r="L52" i="13" s="1"/>
  <c r="O52" i="13" s="1"/>
  <c r="B53" i="13"/>
  <c r="AR15" i="7"/>
  <c r="AZ337" i="6"/>
  <c r="AZ313" i="6"/>
  <c r="AZ314" i="6" s="1"/>
  <c r="AE319" i="6"/>
  <c r="AF317" i="6" s="1"/>
  <c r="BE311" i="6"/>
  <c r="BE245" i="6"/>
  <c r="AJ154" i="6"/>
  <c r="AJ155" i="6" s="1"/>
  <c r="AK151" i="6" s="1"/>
  <c r="AJ133" i="6"/>
  <c r="AO103" i="6"/>
  <c r="AP101" i="6" s="1"/>
  <c r="AP73" i="6" s="1"/>
  <c r="AO116" i="6"/>
  <c r="BE66" i="6"/>
  <c r="BE121" i="6"/>
  <c r="BF44" i="6"/>
  <c r="BA47" i="6"/>
  <c r="AZ53" i="6"/>
  <c r="AY55" i="6"/>
  <c r="AY54" i="6"/>
  <c r="AY58" i="6" s="1"/>
  <c r="AF56" i="6"/>
  <c r="P52" i="13" l="1"/>
  <c r="Q52" i="13" s="1"/>
  <c r="M53" i="13" s="1"/>
  <c r="Y170" i="6"/>
  <c r="Z163" i="6" s="1"/>
  <c r="AR58" i="7"/>
  <c r="AR85" i="7"/>
  <c r="Z295" i="6"/>
  <c r="Z260" i="6"/>
  <c r="Z261" i="6"/>
  <c r="Z292" i="6" s="1"/>
  <c r="Z294" i="6" s="1"/>
  <c r="BA141" i="6"/>
  <c r="AH130" i="6"/>
  <c r="AH131" i="6" s="1"/>
  <c r="AH137" i="6" s="1"/>
  <c r="AH140" i="6" s="1"/>
  <c r="AJ134" i="6"/>
  <c r="AJ165" i="6" s="1"/>
  <c r="AJ141" i="6" s="1"/>
  <c r="BA135" i="6"/>
  <c r="B54" i="13"/>
  <c r="K53" i="13"/>
  <c r="L53" i="13" s="1"/>
  <c r="O53" i="13" s="1"/>
  <c r="P53" i="13" s="1"/>
  <c r="Q53" i="13" s="1"/>
  <c r="M54" i="13" s="1"/>
  <c r="AS15" i="7"/>
  <c r="BA313" i="6"/>
  <c r="BA314" i="6" s="1"/>
  <c r="BA337" i="6"/>
  <c r="BF311" i="6"/>
  <c r="BF245" i="6"/>
  <c r="AF318" i="6"/>
  <c r="AF320" i="6" s="1"/>
  <c r="AF326" i="6" s="1"/>
  <c r="AF329" i="6" s="1"/>
  <c r="AF332" i="6" s="1"/>
  <c r="AF336" i="6" s="1"/>
  <c r="AF338" i="6" s="1"/>
  <c r="AK153" i="6"/>
  <c r="AK168" i="6" s="1"/>
  <c r="AI140" i="6"/>
  <c r="AI129" i="6"/>
  <c r="AJ127" i="6" s="1"/>
  <c r="AJ128" i="6" s="1"/>
  <c r="AJ130" i="6" s="1"/>
  <c r="AJ131" i="6" s="1"/>
  <c r="AP116" i="6"/>
  <c r="AP103" i="6"/>
  <c r="AQ101" i="6" s="1"/>
  <c r="AQ73" i="6" s="1"/>
  <c r="BF66" i="6"/>
  <c r="BF121" i="6"/>
  <c r="BG44" i="6"/>
  <c r="AZ55" i="6"/>
  <c r="AZ54" i="6"/>
  <c r="AZ58" i="6" s="1"/>
  <c r="BB47" i="6"/>
  <c r="BA53" i="6"/>
  <c r="AF57" i="6"/>
  <c r="AF59" i="6" s="1"/>
  <c r="Z164" i="6" l="1"/>
  <c r="Z167" i="6" s="1"/>
  <c r="AS85" i="7"/>
  <c r="AS58" i="7"/>
  <c r="Z296" i="6"/>
  <c r="Z280" i="6" s="1"/>
  <c r="Z297" i="6"/>
  <c r="Z262" i="6" s="1"/>
  <c r="Z263" i="6" s="1"/>
  <c r="Z267" i="6" s="1"/>
  <c r="BB141" i="6"/>
  <c r="BB135" i="6"/>
  <c r="AJ135" i="6"/>
  <c r="AJ137" i="6" s="1"/>
  <c r="AJ140" i="6" s="1"/>
  <c r="B55" i="13"/>
  <c r="K54" i="13"/>
  <c r="L54" i="13" s="1"/>
  <c r="O54" i="13" s="1"/>
  <c r="P54" i="13" s="1"/>
  <c r="Q54" i="13" s="1"/>
  <c r="M55" i="13" s="1"/>
  <c r="AT15" i="7"/>
  <c r="AF319" i="6"/>
  <c r="AG317" i="6" s="1"/>
  <c r="AG318" i="6" s="1"/>
  <c r="AG320" i="6" s="1"/>
  <c r="AG326" i="6" s="1"/>
  <c r="AG329" i="6" s="1"/>
  <c r="AG332" i="6" s="1"/>
  <c r="AG336" i="6" s="1"/>
  <c r="AG338" i="6" s="1"/>
  <c r="BG245" i="6"/>
  <c r="BG311" i="6"/>
  <c r="BB337" i="6"/>
  <c r="BB313" i="6"/>
  <c r="BB314" i="6" s="1"/>
  <c r="AK154" i="6"/>
  <c r="AK155" i="6" s="1"/>
  <c r="AL151" i="6" s="1"/>
  <c r="AL153" i="6" s="1"/>
  <c r="AL168" i="6" s="1"/>
  <c r="AK133" i="6"/>
  <c r="AJ129" i="6"/>
  <c r="AK127" i="6" s="1"/>
  <c r="AK128" i="6" s="1"/>
  <c r="AK130" i="6" s="1"/>
  <c r="AK131" i="6" s="1"/>
  <c r="AQ116" i="6"/>
  <c r="AQ103" i="6"/>
  <c r="AR101" i="6" s="1"/>
  <c r="AR73" i="6" s="1"/>
  <c r="BG121" i="6"/>
  <c r="BG66" i="6"/>
  <c r="BH44" i="6"/>
  <c r="BA55" i="6"/>
  <c r="BA54" i="6"/>
  <c r="BA58" i="6" s="1"/>
  <c r="BC47" i="6"/>
  <c r="BB53" i="6"/>
  <c r="AG56" i="6"/>
  <c r="Z169" i="6" l="1"/>
  <c r="Z142" i="6" s="1"/>
  <c r="Z143" i="6" s="1"/>
  <c r="Z146" i="6" s="1"/>
  <c r="Z148" i="6" s="1"/>
  <c r="AT85" i="7"/>
  <c r="AT58" i="7"/>
  <c r="Z269" i="6"/>
  <c r="L11" i="7" s="1"/>
  <c r="L10" i="7"/>
  <c r="Z298" i="6"/>
  <c r="AA290" i="6" s="1"/>
  <c r="AA291" i="6" s="1"/>
  <c r="Z281" i="6"/>
  <c r="AA275" i="6" s="1"/>
  <c r="BC141" i="6"/>
  <c r="BC135" i="6"/>
  <c r="AK134" i="6"/>
  <c r="AK165" i="6" s="1"/>
  <c r="AK141" i="6" s="1"/>
  <c r="K55" i="13"/>
  <c r="L55" i="13" s="1"/>
  <c r="O55" i="13" s="1"/>
  <c r="P55" i="13" s="1"/>
  <c r="Q55" i="13" s="1"/>
  <c r="M56" i="13" s="1"/>
  <c r="B56" i="13"/>
  <c r="AU15" i="7"/>
  <c r="BC337" i="6"/>
  <c r="BC313" i="6"/>
  <c r="BC314" i="6" s="1"/>
  <c r="AG319" i="6"/>
  <c r="AH317" i="6" s="1"/>
  <c r="BH311" i="6"/>
  <c r="BH245" i="6"/>
  <c r="AL154" i="6"/>
  <c r="AL155" i="6" s="1"/>
  <c r="AM151" i="6" s="1"/>
  <c r="AM153" i="6" s="1"/>
  <c r="AM168" i="6" s="1"/>
  <c r="AL133" i="6"/>
  <c r="AR116" i="6"/>
  <c r="AR103" i="6"/>
  <c r="AS101" i="6" s="1"/>
  <c r="AS73" i="6" s="1"/>
  <c r="BH121" i="6"/>
  <c r="BH66" i="6"/>
  <c r="BI44" i="6"/>
  <c r="BB55" i="6"/>
  <c r="BB54" i="6"/>
  <c r="BB58" i="6" s="1"/>
  <c r="BD47" i="6"/>
  <c r="BC53" i="6"/>
  <c r="AG57" i="6"/>
  <c r="AG59" i="6" s="1"/>
  <c r="Z170" i="6" l="1"/>
  <c r="AA163" i="6" s="1"/>
  <c r="AU58" i="7"/>
  <c r="AU85" i="7"/>
  <c r="AA277" i="6"/>
  <c r="AA276" i="6"/>
  <c r="BD141" i="6"/>
  <c r="BD135" i="6"/>
  <c r="AL134" i="6"/>
  <c r="AL165" i="6" s="1"/>
  <c r="AL141" i="6" s="1"/>
  <c r="AK135" i="6"/>
  <c r="AK137" i="6" s="1"/>
  <c r="AK140" i="6" s="1"/>
  <c r="K56" i="13"/>
  <c r="L56" i="13" s="1"/>
  <c r="O56" i="13" s="1"/>
  <c r="P56" i="13" s="1"/>
  <c r="Q56" i="13" s="1"/>
  <c r="M57" i="13" s="1"/>
  <c r="B57" i="13"/>
  <c r="AV15" i="7"/>
  <c r="AH318" i="6"/>
  <c r="AH320" i="6" s="1"/>
  <c r="AH326" i="6" s="1"/>
  <c r="AH329" i="6" s="1"/>
  <c r="AH332" i="6" s="1"/>
  <c r="AH336" i="6" s="1"/>
  <c r="AH338" i="6" s="1"/>
  <c r="BD337" i="6"/>
  <c r="BD313" i="6"/>
  <c r="BD314" i="6" s="1"/>
  <c r="BI311" i="6"/>
  <c r="BI245" i="6"/>
  <c r="AM154" i="6"/>
  <c r="AM155" i="6" s="1"/>
  <c r="AN151" i="6" s="1"/>
  <c r="AM133" i="6"/>
  <c r="AK129" i="6"/>
  <c r="AL127" i="6" s="1"/>
  <c r="AL128" i="6" s="1"/>
  <c r="AL130" i="6" s="1"/>
  <c r="AL131" i="6" s="1"/>
  <c r="AS116" i="6"/>
  <c r="AS103" i="6"/>
  <c r="AT101" i="6" s="1"/>
  <c r="AT73" i="6" s="1"/>
  <c r="BI66" i="6"/>
  <c r="BI121" i="6"/>
  <c r="BJ44" i="6"/>
  <c r="BC55" i="6"/>
  <c r="BC54" i="6"/>
  <c r="BC58" i="6" s="1"/>
  <c r="BE47" i="6"/>
  <c r="BD53" i="6"/>
  <c r="AH56" i="6"/>
  <c r="AA164" i="6" l="1"/>
  <c r="AA167" i="6" s="1"/>
  <c r="AV85" i="7"/>
  <c r="AV58" i="7"/>
  <c r="AA252" i="6"/>
  <c r="AA254" i="6" s="1"/>
  <c r="AA255" i="6" s="1"/>
  <c r="AA257" i="6" s="1"/>
  <c r="AA278" i="6"/>
  <c r="AA279" i="6" s="1"/>
  <c r="BE141" i="6"/>
  <c r="AM134" i="6"/>
  <c r="AM165" i="6" s="1"/>
  <c r="AM141" i="6" s="1"/>
  <c r="BE135" i="6"/>
  <c r="AL135" i="6"/>
  <c r="AL137" i="6" s="1"/>
  <c r="AL140" i="6" s="1"/>
  <c r="B58" i="13"/>
  <c r="K57" i="13"/>
  <c r="L57" i="13" s="1"/>
  <c r="O57" i="13" s="1"/>
  <c r="P57" i="13" s="1"/>
  <c r="Q57" i="13" s="1"/>
  <c r="M58" i="13" s="1"/>
  <c r="AW15" i="7"/>
  <c r="BJ311" i="6"/>
  <c r="BJ245" i="6"/>
  <c r="AH319" i="6"/>
  <c r="AI317" i="6" s="1"/>
  <c r="BE313" i="6"/>
  <c r="BE314" i="6" s="1"/>
  <c r="BE337" i="6"/>
  <c r="AN153" i="6"/>
  <c r="AN168" i="6" s="1"/>
  <c r="AL129" i="6"/>
  <c r="AM127" i="6" s="1"/>
  <c r="AM128" i="6" s="1"/>
  <c r="AM130" i="6" s="1"/>
  <c r="AM131" i="6" s="1"/>
  <c r="AT116" i="6"/>
  <c r="AT103" i="6"/>
  <c r="AU101" i="6" s="1"/>
  <c r="AU73" i="6" s="1"/>
  <c r="BJ66" i="6"/>
  <c r="BJ121" i="6"/>
  <c r="BK44" i="6"/>
  <c r="BF47" i="6"/>
  <c r="BE53" i="6"/>
  <c r="BD55" i="6"/>
  <c r="BD54" i="6"/>
  <c r="BD58" i="6" s="1"/>
  <c r="AH57" i="6"/>
  <c r="AH59" i="6" s="1"/>
  <c r="AA169" i="6" l="1"/>
  <c r="AA142" i="6" s="1"/>
  <c r="AA143" i="6" s="1"/>
  <c r="AA146" i="6" s="1"/>
  <c r="AA148" i="6" s="1"/>
  <c r="AW85" i="7"/>
  <c r="AW58" i="7"/>
  <c r="AA295" i="6"/>
  <c r="AA260" i="6"/>
  <c r="AA261" i="6"/>
  <c r="AA292" i="6" s="1"/>
  <c r="AA294" i="6" s="1"/>
  <c r="BF141" i="6"/>
  <c r="BF135" i="6"/>
  <c r="AM135" i="6"/>
  <c r="AM137" i="6" s="1"/>
  <c r="AM140" i="6" s="1"/>
  <c r="B59" i="13"/>
  <c r="K58" i="13"/>
  <c r="L58" i="13" s="1"/>
  <c r="O58" i="13" s="1"/>
  <c r="P58" i="13" s="1"/>
  <c r="Q58" i="13" s="1"/>
  <c r="M59" i="13" s="1"/>
  <c r="AX15" i="7"/>
  <c r="BF313" i="6"/>
  <c r="BF314" i="6" s="1"/>
  <c r="BF337" i="6"/>
  <c r="AI318" i="6"/>
  <c r="AI320" i="6" s="1"/>
  <c r="AI326" i="6" s="1"/>
  <c r="AI329" i="6" s="1"/>
  <c r="AI332" i="6" s="1"/>
  <c r="AI336" i="6" s="1"/>
  <c r="AI338" i="6" s="1"/>
  <c r="BK245" i="6"/>
  <c r="BK311" i="6"/>
  <c r="AN154" i="6"/>
  <c r="AN155" i="6" s="1"/>
  <c r="AO151" i="6" s="1"/>
  <c r="AO153" i="6" s="1"/>
  <c r="AO168" i="6" s="1"/>
  <c r="AN133" i="6"/>
  <c r="AM129" i="6"/>
  <c r="AN127" i="6" s="1"/>
  <c r="AN128" i="6" s="1"/>
  <c r="AN130" i="6" s="1"/>
  <c r="AN131" i="6" s="1"/>
  <c r="AU102" i="6"/>
  <c r="AU103" i="6" s="1"/>
  <c r="AU116" i="6"/>
  <c r="BK121" i="6"/>
  <c r="BK66" i="6"/>
  <c r="BL44" i="6"/>
  <c r="BE54" i="6"/>
  <c r="BE58" i="6" s="1"/>
  <c r="BE55" i="6"/>
  <c r="BG47" i="6"/>
  <c r="BF53" i="6"/>
  <c r="AI56" i="6"/>
  <c r="AA170" i="6" l="1"/>
  <c r="AB163" i="6" s="1"/>
  <c r="AX58" i="7"/>
  <c r="AX85" i="7"/>
  <c r="AA297" i="6"/>
  <c r="AA262" i="6" s="1"/>
  <c r="AA263" i="6" s="1"/>
  <c r="AA267" i="6" s="1"/>
  <c r="AA296" i="6"/>
  <c r="BG141" i="6"/>
  <c r="AN134" i="6"/>
  <c r="AN165" i="6" s="1"/>
  <c r="AN141" i="6" s="1"/>
  <c r="BG135" i="6"/>
  <c r="K59" i="13"/>
  <c r="L59" i="13" s="1"/>
  <c r="O59" i="13" s="1"/>
  <c r="P59" i="13" s="1"/>
  <c r="Q59" i="13" s="1"/>
  <c r="M60" i="13" s="1"/>
  <c r="B60" i="13"/>
  <c r="AY15" i="7"/>
  <c r="BG313" i="6"/>
  <c r="BG314" i="6" s="1"/>
  <c r="BG337" i="6"/>
  <c r="BL311" i="6"/>
  <c r="BL245" i="6"/>
  <c r="AI319" i="6"/>
  <c r="AJ317" i="6" s="1"/>
  <c r="AO154" i="6"/>
  <c r="AO155" i="6" s="1"/>
  <c r="AP151" i="6" s="1"/>
  <c r="AO133" i="6"/>
  <c r="AN129" i="6"/>
  <c r="AO127" i="6" s="1"/>
  <c r="AO128" i="6" s="1"/>
  <c r="AO130" i="6" s="1"/>
  <c r="AO131" i="6" s="1"/>
  <c r="BL121" i="6"/>
  <c r="BL66" i="6"/>
  <c r="BM44" i="6"/>
  <c r="BF55" i="6"/>
  <c r="BF54" i="6"/>
  <c r="BF58" i="6" s="1"/>
  <c r="BH47" i="6"/>
  <c r="BG53" i="6"/>
  <c r="AI57" i="6"/>
  <c r="AI59" i="6" s="1"/>
  <c r="AB164" i="6" l="1"/>
  <c r="AB167" i="6" s="1"/>
  <c r="AY58" i="7"/>
  <c r="AY85" i="7"/>
  <c r="AA269" i="6"/>
  <c r="M11" i="7" s="1"/>
  <c r="M10" i="7"/>
  <c r="AA298" i="6"/>
  <c r="AB290" i="6" s="1"/>
  <c r="AB291" i="6" s="1"/>
  <c r="AA280" i="6"/>
  <c r="AA281" i="6" s="1"/>
  <c r="AB275" i="6" s="1"/>
  <c r="BH141" i="6"/>
  <c r="BH135" i="6"/>
  <c r="AO134" i="6"/>
  <c r="AO165" i="6" s="1"/>
  <c r="AO141" i="6" s="1"/>
  <c r="AN135" i="6"/>
  <c r="AN137" i="6" s="1"/>
  <c r="AN140" i="6" s="1"/>
  <c r="K60" i="13"/>
  <c r="L60" i="13" s="1"/>
  <c r="O60" i="13" s="1"/>
  <c r="P60" i="13" s="1"/>
  <c r="Q60" i="13" s="1"/>
  <c r="M61" i="13" s="1"/>
  <c r="B61" i="13"/>
  <c r="AZ15" i="7"/>
  <c r="AJ318" i="6"/>
  <c r="AJ320" i="6" s="1"/>
  <c r="AJ326" i="6" s="1"/>
  <c r="AJ329" i="6" s="1"/>
  <c r="AJ332" i="6" s="1"/>
  <c r="AJ336" i="6" s="1"/>
  <c r="AJ338" i="6" s="1"/>
  <c r="BH313" i="6"/>
  <c r="BH314" i="6" s="1"/>
  <c r="BH337" i="6"/>
  <c r="BM311" i="6"/>
  <c r="BM245" i="6"/>
  <c r="AP153" i="6"/>
  <c r="AP168" i="6" s="1"/>
  <c r="AO129" i="6"/>
  <c r="AP127" i="6" s="1"/>
  <c r="AP128" i="6" s="1"/>
  <c r="AP130" i="6" s="1"/>
  <c r="AP131" i="6" s="1"/>
  <c r="BM66" i="6"/>
  <c r="BM121" i="6"/>
  <c r="BN44" i="6"/>
  <c r="BI47" i="6"/>
  <c r="BH53" i="6"/>
  <c r="BG55" i="6"/>
  <c r="BG54" i="6"/>
  <c r="BG58" i="6" s="1"/>
  <c r="AJ56" i="6"/>
  <c r="AB169" i="6" l="1"/>
  <c r="AB142" i="6" s="1"/>
  <c r="AB143" i="6" s="1"/>
  <c r="AB146" i="6" s="1"/>
  <c r="AB148" i="6" s="1"/>
  <c r="AZ58" i="7"/>
  <c r="AZ85" i="7"/>
  <c r="AB277" i="6"/>
  <c r="AB276" i="6"/>
  <c r="AB252" i="6" s="1"/>
  <c r="AB254" i="6" s="1"/>
  <c r="AB255" i="6" s="1"/>
  <c r="AB257" i="6" s="1"/>
  <c r="BI141" i="6"/>
  <c r="AO135" i="6"/>
  <c r="AO137" i="6" s="1"/>
  <c r="AO140" i="6" s="1"/>
  <c r="BI135" i="6"/>
  <c r="K61" i="13"/>
  <c r="L61" i="13" s="1"/>
  <c r="O61" i="13" s="1"/>
  <c r="P61" i="13" s="1"/>
  <c r="Q61" i="13" s="1"/>
  <c r="M62" i="13" s="1"/>
  <c r="B62" i="13"/>
  <c r="BA15" i="7"/>
  <c r="BI313" i="6"/>
  <c r="BI314" i="6" s="1"/>
  <c r="BI337" i="6"/>
  <c r="AJ319" i="6"/>
  <c r="AK317" i="6" s="1"/>
  <c r="BN311" i="6"/>
  <c r="BN245" i="6"/>
  <c r="AP129" i="6"/>
  <c r="AQ127" i="6" s="1"/>
  <c r="AQ128" i="6" s="1"/>
  <c r="AQ130" i="6" s="1"/>
  <c r="AQ131" i="6" s="1"/>
  <c r="AP154" i="6"/>
  <c r="AP155" i="6" s="1"/>
  <c r="AQ151" i="6" s="1"/>
  <c r="AP133" i="6"/>
  <c r="BN66" i="6"/>
  <c r="BN121" i="6"/>
  <c r="BO44" i="6"/>
  <c r="BH55" i="6"/>
  <c r="BH54" i="6"/>
  <c r="BH58" i="6" s="1"/>
  <c r="BJ47" i="6"/>
  <c r="BI53" i="6"/>
  <c r="AJ57" i="6"/>
  <c r="AB170" i="6" l="1"/>
  <c r="AC163" i="6" s="1"/>
  <c r="BA85" i="7"/>
  <c r="BA58" i="7"/>
  <c r="AB261" i="6"/>
  <c r="AB292" i="6" s="1"/>
  <c r="AB294" i="6" s="1"/>
  <c r="AB260" i="6"/>
  <c r="AB278" i="6"/>
  <c r="AB279" i="6" s="1"/>
  <c r="AB295" i="6" s="1"/>
  <c r="BJ141" i="6"/>
  <c r="BJ135" i="6"/>
  <c r="AP134" i="6"/>
  <c r="AP165" i="6" s="1"/>
  <c r="AP141" i="6" s="1"/>
  <c r="B63" i="13"/>
  <c r="K62" i="13"/>
  <c r="L62" i="13" s="1"/>
  <c r="AK318" i="6"/>
  <c r="AK320" i="6" s="1"/>
  <c r="AK326" i="6" s="1"/>
  <c r="AK329" i="6" s="1"/>
  <c r="AK332" i="6" s="1"/>
  <c r="AK336" i="6" s="1"/>
  <c r="AK338" i="6" s="1"/>
  <c r="BJ337" i="6"/>
  <c r="BJ313" i="6"/>
  <c r="BJ314" i="6" s="1"/>
  <c r="BO245" i="6"/>
  <c r="BO311" i="6"/>
  <c r="AQ129" i="6"/>
  <c r="AR127" i="6" s="1"/>
  <c r="AR128" i="6" s="1"/>
  <c r="AR130" i="6" s="1"/>
  <c r="AR131" i="6" s="1"/>
  <c r="AQ153" i="6"/>
  <c r="AQ168" i="6" s="1"/>
  <c r="BO121" i="6"/>
  <c r="BO66" i="6"/>
  <c r="AV72" i="6"/>
  <c r="AV74" i="6" s="1"/>
  <c r="BI55" i="6"/>
  <c r="BI54" i="6"/>
  <c r="BI58" i="6" s="1"/>
  <c r="BK47" i="6"/>
  <c r="BJ53" i="6"/>
  <c r="AJ59" i="6"/>
  <c r="AK56" i="6" s="1"/>
  <c r="AC164" i="6" l="1"/>
  <c r="AC167" i="6" s="1"/>
  <c r="AB297" i="6"/>
  <c r="AB262" i="6" s="1"/>
  <c r="AB263" i="6" s="1"/>
  <c r="AB267" i="6" s="1"/>
  <c r="AB296" i="6"/>
  <c r="BK141" i="6"/>
  <c r="AP135" i="6"/>
  <c r="AP137" i="6" s="1"/>
  <c r="AP140" i="6" s="1"/>
  <c r="BK135" i="6"/>
  <c r="AV81" i="6"/>
  <c r="AV108" i="6" s="1"/>
  <c r="AV75" i="6"/>
  <c r="AV77" i="6" s="1"/>
  <c r="AV80" i="6" s="1"/>
  <c r="O62" i="13"/>
  <c r="P62" i="13" s="1"/>
  <c r="Q62" i="13" s="1"/>
  <c r="Q11" i="13" s="1"/>
  <c r="L11" i="13"/>
  <c r="K63" i="13"/>
  <c r="L63" i="13" s="1"/>
  <c r="B64" i="13"/>
  <c r="BK313" i="6"/>
  <c r="BK314" i="6" s="1"/>
  <c r="BK337" i="6"/>
  <c r="AK319" i="6"/>
  <c r="AL317" i="6" s="1"/>
  <c r="AQ154" i="6"/>
  <c r="AQ155" i="6" s="1"/>
  <c r="AR151" i="6" s="1"/>
  <c r="AR153" i="6" s="1"/>
  <c r="AR168" i="6" s="1"/>
  <c r="AQ133" i="6"/>
  <c r="AQ134" i="6" s="1"/>
  <c r="AQ165" i="6" s="1"/>
  <c r="AQ141" i="6" s="1"/>
  <c r="AR129" i="6"/>
  <c r="AS127" i="6" s="1"/>
  <c r="AS128" i="6" s="1"/>
  <c r="AS130" i="6" s="1"/>
  <c r="AS131" i="6" s="1"/>
  <c r="AW72" i="6"/>
  <c r="AW74" i="6" s="1"/>
  <c r="BJ55" i="6"/>
  <c r="BJ54" i="6"/>
  <c r="BJ58" i="6" s="1"/>
  <c r="BL47" i="6"/>
  <c r="BK53" i="6"/>
  <c r="AK57" i="6"/>
  <c r="AC169" i="6" l="1"/>
  <c r="AC142" i="6" s="1"/>
  <c r="AC143" i="6" s="1"/>
  <c r="AC146" i="6" s="1"/>
  <c r="AB269" i="6"/>
  <c r="N11" i="7" s="1"/>
  <c r="N10" i="7"/>
  <c r="AB298" i="6"/>
  <c r="AC290" i="6" s="1"/>
  <c r="AC291" i="6" s="1"/>
  <c r="AB280" i="6"/>
  <c r="AB281" i="6" s="1"/>
  <c r="AC275" i="6" s="1"/>
  <c r="AV83" i="6"/>
  <c r="AV86" i="6" s="1"/>
  <c r="BL141" i="6"/>
  <c r="BL135" i="6"/>
  <c r="AQ135" i="6"/>
  <c r="AQ137" i="6" s="1"/>
  <c r="AQ140" i="6" s="1"/>
  <c r="AW81" i="6"/>
  <c r="AW108" i="6" s="1"/>
  <c r="AW75" i="6"/>
  <c r="AW77" i="6" s="1"/>
  <c r="AW80" i="6" s="1"/>
  <c r="B65" i="13"/>
  <c r="K64" i="13"/>
  <c r="L64" i="13" s="1"/>
  <c r="AL318" i="6"/>
  <c r="AL320" i="6" s="1"/>
  <c r="AL326" i="6" s="1"/>
  <c r="AL329" i="6" s="1"/>
  <c r="AL332" i="6" s="1"/>
  <c r="AL336" i="6" s="1"/>
  <c r="AL338" i="6" s="1"/>
  <c r="BL337" i="6"/>
  <c r="BL313" i="6"/>
  <c r="BL314" i="6" s="1"/>
  <c r="AR154" i="6"/>
  <c r="AR155" i="6" s="1"/>
  <c r="AS151" i="6" s="1"/>
  <c r="AS153" i="6" s="1"/>
  <c r="AS168" i="6" s="1"/>
  <c r="AR133" i="6"/>
  <c r="AR134" i="6" s="1"/>
  <c r="AR165" i="6" s="1"/>
  <c r="AR141" i="6" s="1"/>
  <c r="AS129" i="6"/>
  <c r="AT127" i="6" s="1"/>
  <c r="AT128" i="6" s="1"/>
  <c r="AT130" i="6" s="1"/>
  <c r="AT131" i="6" s="1"/>
  <c r="AX72" i="6"/>
  <c r="AX74" i="6" s="1"/>
  <c r="BM47" i="6"/>
  <c r="BL53" i="6"/>
  <c r="BK55" i="6"/>
  <c r="BK54" i="6"/>
  <c r="BK58" i="6" s="1"/>
  <c r="AK59" i="6"/>
  <c r="AL56" i="6" s="1"/>
  <c r="AC170" i="6" l="1"/>
  <c r="AD163" i="6" s="1"/>
  <c r="F36" i="6"/>
  <c r="AC148" i="6"/>
  <c r="F38" i="6" s="1"/>
  <c r="AV88" i="6"/>
  <c r="AH8" i="7" s="1"/>
  <c r="AH7" i="7"/>
  <c r="AC277" i="6"/>
  <c r="AC276" i="6"/>
  <c r="AW83" i="6"/>
  <c r="AW86" i="6" s="1"/>
  <c r="BM141" i="6"/>
  <c r="BM135" i="6"/>
  <c r="AR135" i="6"/>
  <c r="AR137" i="6" s="1"/>
  <c r="AR140" i="6" s="1"/>
  <c r="AX81" i="6"/>
  <c r="AX108" i="6" s="1"/>
  <c r="AX75" i="6"/>
  <c r="AX77" i="6" s="1"/>
  <c r="AX80" i="6" s="1"/>
  <c r="B66" i="13"/>
  <c r="K65" i="13"/>
  <c r="L65" i="13" s="1"/>
  <c r="AL319" i="6"/>
  <c r="AM317" i="6" s="1"/>
  <c r="BM337" i="6"/>
  <c r="BM313" i="6"/>
  <c r="BM314" i="6" s="1"/>
  <c r="AS154" i="6"/>
  <c r="AS155" i="6" s="1"/>
  <c r="AT151" i="6" s="1"/>
  <c r="AS133" i="6"/>
  <c r="AY72" i="6"/>
  <c r="AY74" i="6" s="1"/>
  <c r="BL55" i="6"/>
  <c r="BL54" i="6"/>
  <c r="BL58" i="6" s="1"/>
  <c r="BN47" i="6"/>
  <c r="BM53" i="6"/>
  <c r="AL57" i="6"/>
  <c r="AL59" i="6" s="1"/>
  <c r="AM56" i="6" s="1"/>
  <c r="AD164" i="6" l="1"/>
  <c r="AD167" i="6" s="1"/>
  <c r="AW88" i="6"/>
  <c r="AI8" i="7" s="1"/>
  <c r="AI7" i="7"/>
  <c r="AC252" i="6"/>
  <c r="AC254" i="6" s="1"/>
  <c r="AC255" i="6" s="1"/>
  <c r="AC257" i="6" s="1"/>
  <c r="AC278" i="6"/>
  <c r="AC279" i="6" s="1"/>
  <c r="AC295" i="6" s="1"/>
  <c r="BN141" i="6"/>
  <c r="BN135" i="6"/>
  <c r="AX83" i="6"/>
  <c r="AX86" i="6" s="1"/>
  <c r="AJ7" i="7" s="1"/>
  <c r="AS134" i="6"/>
  <c r="AS165" i="6" s="1"/>
  <c r="AS141" i="6" s="1"/>
  <c r="AY81" i="6"/>
  <c r="AY108" i="6" s="1"/>
  <c r="AY75" i="6"/>
  <c r="AY77" i="6" s="1"/>
  <c r="AY80" i="6" s="1"/>
  <c r="B67" i="13"/>
  <c r="K66" i="13"/>
  <c r="L66" i="13" s="1"/>
  <c r="BN337" i="6"/>
  <c r="BN313" i="6"/>
  <c r="BN314" i="6" s="1"/>
  <c r="AM318" i="6"/>
  <c r="AM320" i="6" s="1"/>
  <c r="AM326" i="6" s="1"/>
  <c r="AM329" i="6" s="1"/>
  <c r="AM332" i="6" s="1"/>
  <c r="AM336" i="6" s="1"/>
  <c r="AM338" i="6" s="1"/>
  <c r="AT153" i="6"/>
  <c r="AT168" i="6" s="1"/>
  <c r="AT129" i="6"/>
  <c r="AU127" i="6" s="1"/>
  <c r="AZ72" i="6"/>
  <c r="AZ74" i="6" s="1"/>
  <c r="BO47" i="6"/>
  <c r="BN53" i="6"/>
  <c r="BM55" i="6"/>
  <c r="BM54" i="6"/>
  <c r="BM58" i="6" s="1"/>
  <c r="AM57" i="6"/>
  <c r="AD169" i="6" l="1"/>
  <c r="AD142" i="6" s="1"/>
  <c r="AD143" i="6" s="1"/>
  <c r="AD146" i="6" s="1"/>
  <c r="AD148" i="6" s="1"/>
  <c r="AC260" i="6"/>
  <c r="AC261" i="6"/>
  <c r="AC292" i="6" s="1"/>
  <c r="AC294" i="6" s="1"/>
  <c r="BO141" i="6"/>
  <c r="AX88" i="6"/>
  <c r="AJ8" i="7" s="1"/>
  <c r="AY83" i="6"/>
  <c r="AY86" i="6" s="1"/>
  <c r="AK7" i="7" s="1"/>
  <c r="BO135" i="6"/>
  <c r="AS135" i="6"/>
  <c r="AS137" i="6" s="1"/>
  <c r="AS140" i="6" s="1"/>
  <c r="AZ81" i="6"/>
  <c r="AZ108" i="6" s="1"/>
  <c r="AZ75" i="6"/>
  <c r="AZ77" i="6" s="1"/>
  <c r="AZ80" i="6" s="1"/>
  <c r="B68" i="13"/>
  <c r="K67" i="13"/>
  <c r="L67" i="13" s="1"/>
  <c r="H37" i="6"/>
  <c r="BO313" i="6"/>
  <c r="BO314" i="6" s="1"/>
  <c r="BO337" i="6"/>
  <c r="AM319" i="6"/>
  <c r="AN317" i="6" s="1"/>
  <c r="AT154" i="6"/>
  <c r="AT155" i="6" s="1"/>
  <c r="AU151" i="6" s="1"/>
  <c r="AT133" i="6"/>
  <c r="AT134" i="6" s="1"/>
  <c r="AT165" i="6" s="1"/>
  <c r="AT141" i="6" s="1"/>
  <c r="AU128" i="6"/>
  <c r="BA72" i="6"/>
  <c r="BA74" i="6" s="1"/>
  <c r="H31" i="6"/>
  <c r="BN54" i="6"/>
  <c r="BN58" i="6" s="1"/>
  <c r="BN55" i="6"/>
  <c r="BO53" i="6"/>
  <c r="AM59" i="6"/>
  <c r="AN56" i="6" s="1"/>
  <c r="AD170" i="6" l="1"/>
  <c r="AE163" i="6" s="1"/>
  <c r="AC296" i="6"/>
  <c r="AC297" i="6"/>
  <c r="AC262" i="6" s="1"/>
  <c r="AC263" i="6" s="1"/>
  <c r="AC267" i="6" s="1"/>
  <c r="O10" i="7" s="1"/>
  <c r="AY88" i="6"/>
  <c r="AK8" i="7" s="1"/>
  <c r="AT135" i="6"/>
  <c r="AT137" i="6" s="1"/>
  <c r="AT140" i="6" s="1"/>
  <c r="AZ83" i="6"/>
  <c r="AZ86" i="6" s="1"/>
  <c r="AL7" i="7" s="1"/>
  <c r="AU129" i="6"/>
  <c r="AV127" i="6" s="1"/>
  <c r="AV128" i="6" s="1"/>
  <c r="AV130" i="6" s="1"/>
  <c r="AV131" i="6" s="1"/>
  <c r="AV137" i="6" s="1"/>
  <c r="AU130" i="6"/>
  <c r="AU131" i="6" s="1"/>
  <c r="BA81" i="6"/>
  <c r="BA108" i="6" s="1"/>
  <c r="BA75" i="6"/>
  <c r="BA77" i="6" s="1"/>
  <c r="BA80" i="6" s="1"/>
  <c r="B69" i="13"/>
  <c r="K68" i="13"/>
  <c r="L68" i="13" s="1"/>
  <c r="AN318" i="6"/>
  <c r="AN320" i="6" s="1"/>
  <c r="AN326" i="6" s="1"/>
  <c r="AN329" i="6" s="1"/>
  <c r="AN332" i="6" s="1"/>
  <c r="AN336" i="6" s="1"/>
  <c r="AN338" i="6" s="1"/>
  <c r="AU153" i="6"/>
  <c r="AU168" i="6" s="1"/>
  <c r="BB72" i="6"/>
  <c r="BB74" i="6" s="1"/>
  <c r="BO55" i="6"/>
  <c r="BO54" i="6"/>
  <c r="BO58" i="6" s="1"/>
  <c r="AN57" i="6"/>
  <c r="AE164" i="6" l="1"/>
  <c r="AE167" i="6" s="1"/>
  <c r="AC298" i="6"/>
  <c r="AD290" i="6" s="1"/>
  <c r="AD291" i="6" s="1"/>
  <c r="AC280" i="6"/>
  <c r="AC281" i="6" s="1"/>
  <c r="AD275" i="6" s="1"/>
  <c r="F211" i="6"/>
  <c r="AC269" i="6"/>
  <c r="O11" i="7" s="1"/>
  <c r="BA83" i="6"/>
  <c r="BA86" i="6" s="1"/>
  <c r="AZ88" i="6"/>
  <c r="AL8" i="7" s="1"/>
  <c r="BB81" i="6"/>
  <c r="BB108" i="6" s="1"/>
  <c r="BB75" i="6"/>
  <c r="BB77" i="6" s="1"/>
  <c r="BB80" i="6" s="1"/>
  <c r="B70" i="13"/>
  <c r="K69" i="13"/>
  <c r="L69" i="13" s="1"/>
  <c r="AN319" i="6"/>
  <c r="AO317" i="6" s="1"/>
  <c r="AO318" i="6" s="1"/>
  <c r="AO320" i="6" s="1"/>
  <c r="AO326" i="6" s="1"/>
  <c r="AO329" i="6" s="1"/>
  <c r="AO332" i="6" s="1"/>
  <c r="AO336" i="6" s="1"/>
  <c r="AO338" i="6" s="1"/>
  <c r="AU154" i="6"/>
  <c r="AU155" i="6" s="1"/>
  <c r="AU133" i="6"/>
  <c r="AU134" i="6" s="1"/>
  <c r="AU165" i="6" s="1"/>
  <c r="AU141" i="6" s="1"/>
  <c r="AV129" i="6"/>
  <c r="BC72" i="6"/>
  <c r="BC74" i="6" s="1"/>
  <c r="AN59" i="6"/>
  <c r="AO56" i="6" s="1"/>
  <c r="AE169" i="6" l="1"/>
  <c r="AE142" i="6" s="1"/>
  <c r="AE143" i="6" s="1"/>
  <c r="AE146" i="6" s="1"/>
  <c r="AE148" i="6" s="1"/>
  <c r="BA88" i="6"/>
  <c r="AM8" i="7" s="1"/>
  <c r="AM7" i="7"/>
  <c r="F213" i="6"/>
  <c r="AD276" i="6"/>
  <c r="AD277" i="6"/>
  <c r="AU135" i="6"/>
  <c r="AU137" i="6" s="1"/>
  <c r="AU140" i="6" s="1"/>
  <c r="BB83" i="6"/>
  <c r="BB86" i="6" s="1"/>
  <c r="AN7" i="7" s="1"/>
  <c r="BC81" i="6"/>
  <c r="BC108" i="6" s="1"/>
  <c r="BC75" i="6"/>
  <c r="BC77" i="6" s="1"/>
  <c r="BC80" i="6" s="1"/>
  <c r="B71" i="13"/>
  <c r="K70" i="13"/>
  <c r="L70" i="13" s="1"/>
  <c r="AO319" i="6"/>
  <c r="AP317" i="6" s="1"/>
  <c r="AV140" i="6"/>
  <c r="AW127" i="6"/>
  <c r="AW128" i="6" s="1"/>
  <c r="AW130" i="6" s="1"/>
  <c r="AW131" i="6" s="1"/>
  <c r="AW137" i="6" s="1"/>
  <c r="BD72" i="6"/>
  <c r="BD74" i="6" s="1"/>
  <c r="AO57" i="6"/>
  <c r="AE170" i="6" l="1"/>
  <c r="AF163" i="6" s="1"/>
  <c r="AD252" i="6"/>
  <c r="AD254" i="6" s="1"/>
  <c r="AD255" i="6" s="1"/>
  <c r="AD257" i="6" s="1"/>
  <c r="AD278" i="6"/>
  <c r="AD279" i="6" s="1"/>
  <c r="AD295" i="6" s="1"/>
  <c r="BC83" i="6"/>
  <c r="BC86" i="6" s="1"/>
  <c r="BB88" i="6"/>
  <c r="AN8" i="7" s="1"/>
  <c r="BD81" i="6"/>
  <c r="BD108" i="6" s="1"/>
  <c r="BD75" i="6"/>
  <c r="BD77" i="6" s="1"/>
  <c r="BD80" i="6" s="1"/>
  <c r="B72" i="13"/>
  <c r="K71" i="13"/>
  <c r="L71" i="13" s="1"/>
  <c r="AP318" i="6"/>
  <c r="AP320" i="6" s="1"/>
  <c r="AP326" i="6" s="1"/>
  <c r="AP329" i="6" s="1"/>
  <c r="AP332" i="6" s="1"/>
  <c r="AP336" i="6" s="1"/>
  <c r="AP338" i="6" s="1"/>
  <c r="AW140" i="6"/>
  <c r="BE72" i="6"/>
  <c r="BE74" i="6" s="1"/>
  <c r="AO59" i="6"/>
  <c r="AP56" i="6" s="1"/>
  <c r="AF164" i="6" l="1"/>
  <c r="AF167" i="6" s="1"/>
  <c r="BC88" i="6"/>
  <c r="AO8" i="7" s="1"/>
  <c r="AO7" i="7"/>
  <c r="AD260" i="6"/>
  <c r="AD261" i="6"/>
  <c r="AD292" i="6" s="1"/>
  <c r="AD294" i="6" s="1"/>
  <c r="BD83" i="6"/>
  <c r="BD86" i="6" s="1"/>
  <c r="BE81" i="6"/>
  <c r="BE108" i="6" s="1"/>
  <c r="BE75" i="6"/>
  <c r="BE77" i="6" s="1"/>
  <c r="BE80" i="6" s="1"/>
  <c r="B73" i="13"/>
  <c r="K72" i="13"/>
  <c r="L72" i="13" s="1"/>
  <c r="AP319" i="6"/>
  <c r="AQ317" i="6" s="1"/>
  <c r="AW129" i="6"/>
  <c r="AX127" i="6" s="1"/>
  <c r="AX128" i="6" s="1"/>
  <c r="AX130" i="6" s="1"/>
  <c r="AX131" i="6" s="1"/>
  <c r="AX137" i="6" s="1"/>
  <c r="BF72" i="6"/>
  <c r="BF74" i="6" s="1"/>
  <c r="AP57" i="6"/>
  <c r="AF169" i="6" l="1"/>
  <c r="AF142" i="6" s="1"/>
  <c r="AF143" i="6" s="1"/>
  <c r="AF146" i="6" s="1"/>
  <c r="AF148" i="6" s="1"/>
  <c r="BD88" i="6"/>
  <c r="AP8" i="7" s="1"/>
  <c r="AP7" i="7"/>
  <c r="AD296" i="6"/>
  <c r="AD280" i="6" s="1"/>
  <c r="AD297" i="6"/>
  <c r="AD262" i="6" s="1"/>
  <c r="AD263" i="6" s="1"/>
  <c r="AD267" i="6" s="1"/>
  <c r="BE83" i="6"/>
  <c r="BE86" i="6" s="1"/>
  <c r="AQ7" i="7" s="1"/>
  <c r="BF81" i="6"/>
  <c r="BF108" i="6" s="1"/>
  <c r="BF75" i="6"/>
  <c r="BF77" i="6" s="1"/>
  <c r="BF80" i="6" s="1"/>
  <c r="B74" i="13"/>
  <c r="K73" i="13"/>
  <c r="L73" i="13" s="1"/>
  <c r="AQ318" i="6"/>
  <c r="AQ320" i="6" s="1"/>
  <c r="AQ326" i="6" s="1"/>
  <c r="AQ329" i="6" s="1"/>
  <c r="AQ332" i="6" s="1"/>
  <c r="AQ336" i="6" s="1"/>
  <c r="AQ338" i="6" s="1"/>
  <c r="AX140" i="6"/>
  <c r="BG72" i="6"/>
  <c r="BG74" i="6" s="1"/>
  <c r="AP59" i="6"/>
  <c r="AQ56" i="6" s="1"/>
  <c r="AF170" i="6" l="1"/>
  <c r="AG163" i="6" s="1"/>
  <c r="AD269" i="6"/>
  <c r="P11" i="7" s="1"/>
  <c r="P10" i="7"/>
  <c r="AD298" i="6"/>
  <c r="AE290" i="6" s="1"/>
  <c r="AE291" i="6" s="1"/>
  <c r="AD281" i="6"/>
  <c r="AE275" i="6" s="1"/>
  <c r="BF83" i="6"/>
  <c r="BF86" i="6" s="1"/>
  <c r="AR7" i="7" s="1"/>
  <c r="BE88" i="6"/>
  <c r="AQ8" i="7" s="1"/>
  <c r="BG81" i="6"/>
  <c r="BG108" i="6" s="1"/>
  <c r="BG75" i="6"/>
  <c r="BG77" i="6" s="1"/>
  <c r="BG80" i="6" s="1"/>
  <c r="B75" i="13"/>
  <c r="K74" i="13"/>
  <c r="L74" i="13" s="1"/>
  <c r="AQ319" i="6"/>
  <c r="AR317" i="6" s="1"/>
  <c r="AX129" i="6"/>
  <c r="AY127" i="6" s="1"/>
  <c r="AY128" i="6" s="1"/>
  <c r="AY130" i="6" s="1"/>
  <c r="AY131" i="6" s="1"/>
  <c r="AY137" i="6" s="1"/>
  <c r="BH72" i="6"/>
  <c r="BH74" i="6" s="1"/>
  <c r="AQ57" i="6"/>
  <c r="AG164" i="6" l="1"/>
  <c r="AG167" i="6" s="1"/>
  <c r="AE277" i="6"/>
  <c r="AE276" i="6"/>
  <c r="BF88" i="6"/>
  <c r="AR8" i="7" s="1"/>
  <c r="BG83" i="6"/>
  <c r="BG86" i="6" s="1"/>
  <c r="AS7" i="7" s="1"/>
  <c r="BH81" i="6"/>
  <c r="BH108" i="6" s="1"/>
  <c r="BH75" i="6"/>
  <c r="BH77" i="6" s="1"/>
  <c r="BH80" i="6" s="1"/>
  <c r="B76" i="13"/>
  <c r="K75" i="13"/>
  <c r="L75" i="13" s="1"/>
  <c r="AR318" i="6"/>
  <c r="AR320" i="6" s="1"/>
  <c r="AR326" i="6" s="1"/>
  <c r="AR329" i="6" s="1"/>
  <c r="AR332" i="6" s="1"/>
  <c r="AR336" i="6" s="1"/>
  <c r="AR338" i="6" s="1"/>
  <c r="AY140" i="6"/>
  <c r="BI72" i="6"/>
  <c r="BI74" i="6" s="1"/>
  <c r="AQ59" i="6"/>
  <c r="AR56" i="6" s="1"/>
  <c r="AG169" i="6" l="1"/>
  <c r="AG142" i="6" s="1"/>
  <c r="AG143" i="6" s="1"/>
  <c r="AG146" i="6" s="1"/>
  <c r="AG148" i="6" s="1"/>
  <c r="AE252" i="6"/>
  <c r="AE254" i="6" s="1"/>
  <c r="AE255" i="6" s="1"/>
  <c r="AE257" i="6" s="1"/>
  <c r="AE278" i="6"/>
  <c r="AE279" i="6" s="1"/>
  <c r="AE295" i="6" s="1"/>
  <c r="BH83" i="6"/>
  <c r="BH86" i="6" s="1"/>
  <c r="BG88" i="6"/>
  <c r="AS8" i="7" s="1"/>
  <c r="BI81" i="6"/>
  <c r="BI108" i="6" s="1"/>
  <c r="BI75" i="6"/>
  <c r="BI77" i="6" s="1"/>
  <c r="BI80" i="6" s="1"/>
  <c r="B77" i="13"/>
  <c r="K76" i="13"/>
  <c r="L76" i="13" s="1"/>
  <c r="AR319" i="6"/>
  <c r="AS317" i="6" s="1"/>
  <c r="AY129" i="6"/>
  <c r="AZ127" i="6" s="1"/>
  <c r="AZ128" i="6" s="1"/>
  <c r="AZ130" i="6" s="1"/>
  <c r="AZ131" i="6" s="1"/>
  <c r="AZ137" i="6" s="1"/>
  <c r="BJ72" i="6"/>
  <c r="BJ74" i="6" s="1"/>
  <c r="AR57" i="6"/>
  <c r="AG170" i="6" l="1"/>
  <c r="AH163" i="6" s="1"/>
  <c r="BH88" i="6"/>
  <c r="AT8" i="7" s="1"/>
  <c r="AT7" i="7"/>
  <c r="AE260" i="6"/>
  <c r="AE261" i="6"/>
  <c r="AE292" i="6" s="1"/>
  <c r="AE294" i="6" s="1"/>
  <c r="BI83" i="6"/>
  <c r="BI86" i="6" s="1"/>
  <c r="AU7" i="7" s="1"/>
  <c r="BJ81" i="6"/>
  <c r="BJ108" i="6" s="1"/>
  <c r="BJ75" i="6"/>
  <c r="BJ77" i="6" s="1"/>
  <c r="BJ80" i="6" s="1"/>
  <c r="B78" i="13"/>
  <c r="K77" i="13"/>
  <c r="L77" i="13" s="1"/>
  <c r="AS318" i="6"/>
  <c r="AS320" i="6" s="1"/>
  <c r="AS326" i="6" s="1"/>
  <c r="AS329" i="6" s="1"/>
  <c r="AS332" i="6" s="1"/>
  <c r="AS336" i="6" s="1"/>
  <c r="AS338" i="6" s="1"/>
  <c r="AZ140" i="6"/>
  <c r="BK72" i="6"/>
  <c r="BK74" i="6" s="1"/>
  <c r="AR59" i="6"/>
  <c r="AS56" i="6" s="1"/>
  <c r="AH164" i="6" l="1"/>
  <c r="AH167" i="6" s="1"/>
  <c r="AE297" i="6"/>
  <c r="AE262" i="6" s="1"/>
  <c r="AE263" i="6" s="1"/>
  <c r="AE267" i="6" s="1"/>
  <c r="AE296" i="6"/>
  <c r="BJ83" i="6"/>
  <c r="BJ86" i="6" s="1"/>
  <c r="BI88" i="6"/>
  <c r="AU8" i="7" s="1"/>
  <c r="BK81" i="6"/>
  <c r="BK108" i="6" s="1"/>
  <c r="BK75" i="6"/>
  <c r="BK77" i="6" s="1"/>
  <c r="BK80" i="6" s="1"/>
  <c r="B79" i="13"/>
  <c r="K78" i="13"/>
  <c r="L78" i="13" s="1"/>
  <c r="AS319" i="6"/>
  <c r="AT317" i="6" s="1"/>
  <c r="AZ129" i="6"/>
  <c r="BA127" i="6" s="1"/>
  <c r="BA128" i="6" s="1"/>
  <c r="BA130" i="6" s="1"/>
  <c r="BA131" i="6" s="1"/>
  <c r="BA137" i="6" s="1"/>
  <c r="BL72" i="6"/>
  <c r="BL74" i="6" s="1"/>
  <c r="AS57" i="6"/>
  <c r="AH169" i="6" l="1"/>
  <c r="AH142" i="6" s="1"/>
  <c r="AH143" i="6" s="1"/>
  <c r="AH146" i="6" s="1"/>
  <c r="AH148" i="6" s="1"/>
  <c r="BJ88" i="6"/>
  <c r="AV8" i="7" s="1"/>
  <c r="AV7" i="7"/>
  <c r="AE269" i="6"/>
  <c r="Q11" i="7" s="1"/>
  <c r="Q10" i="7"/>
  <c r="AE298" i="6"/>
  <c r="AF290" i="6" s="1"/>
  <c r="AF291" i="6" s="1"/>
  <c r="AE280" i="6"/>
  <c r="AE281" i="6" s="1"/>
  <c r="AF275" i="6" s="1"/>
  <c r="BK83" i="6"/>
  <c r="BK86" i="6" s="1"/>
  <c r="AW7" i="7" s="1"/>
  <c r="BL81" i="6"/>
  <c r="BL108" i="6" s="1"/>
  <c r="BL75" i="6"/>
  <c r="BL77" i="6" s="1"/>
  <c r="BL80" i="6" s="1"/>
  <c r="B80" i="13"/>
  <c r="K79" i="13"/>
  <c r="L79" i="13" s="1"/>
  <c r="AT318" i="6"/>
  <c r="AT320" i="6" s="1"/>
  <c r="AT326" i="6" s="1"/>
  <c r="AT329" i="6" s="1"/>
  <c r="AT332" i="6" s="1"/>
  <c r="AT336" i="6" s="1"/>
  <c r="AT338" i="6" s="1"/>
  <c r="BA140" i="6"/>
  <c r="BM72" i="6"/>
  <c r="BM74" i="6" s="1"/>
  <c r="AS59" i="6"/>
  <c r="AT56" i="6" s="1"/>
  <c r="AH170" i="6" l="1"/>
  <c r="AI163" i="6" s="1"/>
  <c r="AF277" i="6"/>
  <c r="AF276" i="6"/>
  <c r="BL83" i="6"/>
  <c r="BL86" i="6" s="1"/>
  <c r="BK88" i="6"/>
  <c r="AW8" i="7" s="1"/>
  <c r="BM81" i="6"/>
  <c r="BM108" i="6" s="1"/>
  <c r="BM75" i="6"/>
  <c r="BM77" i="6" s="1"/>
  <c r="BM80" i="6" s="1"/>
  <c r="B81" i="13"/>
  <c r="K80" i="13"/>
  <c r="L80" i="13" s="1"/>
  <c r="AT319" i="6"/>
  <c r="AU317" i="6" s="1"/>
  <c r="AU318" i="6" s="1"/>
  <c r="AU320" i="6" s="1"/>
  <c r="AU326" i="6" s="1"/>
  <c r="AU329" i="6" s="1"/>
  <c r="AU332" i="6" s="1"/>
  <c r="AU336" i="6" s="1"/>
  <c r="AU338" i="6" s="1"/>
  <c r="BA129" i="6"/>
  <c r="BB127" i="6" s="1"/>
  <c r="BB128" i="6" s="1"/>
  <c r="BB130" i="6" s="1"/>
  <c r="BB131" i="6" s="1"/>
  <c r="BB137" i="6" s="1"/>
  <c r="BO72" i="6"/>
  <c r="BO74" i="6" s="1"/>
  <c r="BN72" i="6"/>
  <c r="BN74" i="6" s="1"/>
  <c r="AT57" i="6"/>
  <c r="AI164" i="6" l="1"/>
  <c r="AI167" i="6" s="1"/>
  <c r="BL88" i="6"/>
  <c r="AX8" i="7" s="1"/>
  <c r="AX7" i="7"/>
  <c r="AF252" i="6"/>
  <c r="AF254" i="6" s="1"/>
  <c r="AF255" i="6" s="1"/>
  <c r="AF257" i="6" s="1"/>
  <c r="AF278" i="6"/>
  <c r="AF279" i="6" s="1"/>
  <c r="AF295" i="6" s="1"/>
  <c r="BM83" i="6"/>
  <c r="BM86" i="6" s="1"/>
  <c r="BO81" i="6"/>
  <c r="BO108" i="6" s="1"/>
  <c r="BO75" i="6"/>
  <c r="BO77" i="6" s="1"/>
  <c r="BO80" i="6" s="1"/>
  <c r="BN81" i="6"/>
  <c r="BN108" i="6" s="1"/>
  <c r="BN75" i="6"/>
  <c r="BN77" i="6" s="1"/>
  <c r="BN80" i="6" s="1"/>
  <c r="B82" i="13"/>
  <c r="K81" i="13"/>
  <c r="L81" i="13" s="1"/>
  <c r="AU319" i="6"/>
  <c r="AV317" i="6" s="1"/>
  <c r="BB140" i="6"/>
  <c r="AT59" i="6"/>
  <c r="AU56" i="6" s="1"/>
  <c r="AI169" i="6" l="1"/>
  <c r="AI142" i="6" s="1"/>
  <c r="AI143" i="6" s="1"/>
  <c r="AI146" i="6" s="1"/>
  <c r="AI148" i="6" s="1"/>
  <c r="BM88" i="6"/>
  <c r="AY8" i="7" s="1"/>
  <c r="AY7" i="7"/>
  <c r="AF261" i="6"/>
  <c r="AF292" i="6" s="1"/>
  <c r="AF294" i="6" s="1"/>
  <c r="AF260" i="6"/>
  <c r="BN83" i="6"/>
  <c r="BN86" i="6" s="1"/>
  <c r="BO83" i="6"/>
  <c r="BO86" i="6" s="1"/>
  <c r="B83" i="13"/>
  <c r="K82" i="13"/>
  <c r="L82" i="13" s="1"/>
  <c r="AV318" i="6"/>
  <c r="AV319" i="6" s="1"/>
  <c r="BB129" i="6"/>
  <c r="BC127" i="6" s="1"/>
  <c r="AU57" i="6"/>
  <c r="AI170" i="6" l="1"/>
  <c r="AJ163" i="6" s="1"/>
  <c r="BO88" i="6"/>
  <c r="BA8" i="7" s="1"/>
  <c r="BA7" i="7"/>
  <c r="BN88" i="6"/>
  <c r="AZ8" i="7" s="1"/>
  <c r="AZ7" i="7"/>
  <c r="AF296" i="6"/>
  <c r="AF280" i="6" s="1"/>
  <c r="AF297" i="6"/>
  <c r="AF262" i="6" s="1"/>
  <c r="AF263" i="6" s="1"/>
  <c r="AF267" i="6" s="1"/>
  <c r="H30" i="6"/>
  <c r="B84" i="13"/>
  <c r="K83" i="13"/>
  <c r="L83" i="13" s="1"/>
  <c r="AV320" i="6"/>
  <c r="AV326" i="6" s="1"/>
  <c r="AV329" i="6" s="1"/>
  <c r="AV332" i="6" s="1"/>
  <c r="AV336" i="6" s="1"/>
  <c r="AV338" i="6" s="1"/>
  <c r="AW317" i="6"/>
  <c r="BC128" i="6"/>
  <c r="AU59" i="6"/>
  <c r="AV56" i="6" s="1"/>
  <c r="AJ164" i="6" l="1"/>
  <c r="AJ167" i="6" s="1"/>
  <c r="AF269" i="6"/>
  <c r="R11" i="7" s="1"/>
  <c r="R10" i="7"/>
  <c r="AF281" i="6"/>
  <c r="AG275" i="6" s="1"/>
  <c r="AF298" i="6"/>
  <c r="AG290" i="6" s="1"/>
  <c r="AG291" i="6" s="1"/>
  <c r="BC130" i="6"/>
  <c r="BC131" i="6" s="1"/>
  <c r="BC137" i="6" s="1"/>
  <c r="BC140" i="6" s="1"/>
  <c r="B85" i="13"/>
  <c r="K84" i="13"/>
  <c r="L84" i="13" s="1"/>
  <c r="AW318" i="6"/>
  <c r="AW320" i="6" s="1"/>
  <c r="AW326" i="6" s="1"/>
  <c r="AW329" i="6" s="1"/>
  <c r="AW332" i="6" s="1"/>
  <c r="AW336" i="6" s="1"/>
  <c r="AW338" i="6" s="1"/>
  <c r="BC129" i="6"/>
  <c r="BD127" i="6" s="1"/>
  <c r="H32" i="6"/>
  <c r="AV57" i="6"/>
  <c r="AV59" i="6" s="1"/>
  <c r="AJ169" i="6" l="1"/>
  <c r="AJ142" i="6" s="1"/>
  <c r="AJ143" i="6" s="1"/>
  <c r="AJ146" i="6" s="1"/>
  <c r="AJ148" i="6" s="1"/>
  <c r="AG277" i="6"/>
  <c r="AG276" i="6"/>
  <c r="B86" i="13"/>
  <c r="K85" i="13"/>
  <c r="L85" i="13" s="1"/>
  <c r="AW319" i="6"/>
  <c r="AX317" i="6" s="1"/>
  <c r="BD128" i="6"/>
  <c r="AW56" i="6"/>
  <c r="AJ170" i="6" l="1"/>
  <c r="AK163" i="6" s="1"/>
  <c r="AK164" i="6" s="1"/>
  <c r="AK167" i="6" s="1"/>
  <c r="AG278" i="6"/>
  <c r="AG279" i="6" s="1"/>
  <c r="AG295" i="6" s="1"/>
  <c r="AG252" i="6"/>
  <c r="AG254" i="6" s="1"/>
  <c r="AG255" i="6" s="1"/>
  <c r="AG257" i="6" s="1"/>
  <c r="BD129" i="6"/>
  <c r="BE127" i="6" s="1"/>
  <c r="BE128" i="6" s="1"/>
  <c r="BD130" i="6"/>
  <c r="BD131" i="6" s="1"/>
  <c r="BD137" i="6" s="1"/>
  <c r="BD140" i="6" s="1"/>
  <c r="B87" i="13"/>
  <c r="K86" i="13"/>
  <c r="L86" i="13" s="1"/>
  <c r="AX318" i="6"/>
  <c r="AX320" i="6" s="1"/>
  <c r="AX326" i="6" s="1"/>
  <c r="AX329" i="6" s="1"/>
  <c r="AX332" i="6" s="1"/>
  <c r="AX336" i="6" s="1"/>
  <c r="AX338" i="6" s="1"/>
  <c r="AW57" i="6"/>
  <c r="AK169" i="6" l="1"/>
  <c r="AK142" i="6" s="1"/>
  <c r="AK143" i="6" s="1"/>
  <c r="AK146" i="6" s="1"/>
  <c r="AK148" i="6" s="1"/>
  <c r="AG261" i="6"/>
  <c r="AG292" i="6" s="1"/>
  <c r="AG294" i="6" s="1"/>
  <c r="AG260" i="6"/>
  <c r="BE129" i="6"/>
  <c r="BF127" i="6" s="1"/>
  <c r="BF128" i="6" s="1"/>
  <c r="BE130" i="6"/>
  <c r="BE131" i="6" s="1"/>
  <c r="BE137" i="6" s="1"/>
  <c r="BE140" i="6" s="1"/>
  <c r="B88" i="13"/>
  <c r="K87" i="13"/>
  <c r="L87" i="13" s="1"/>
  <c r="AX319" i="6"/>
  <c r="AY317" i="6" s="1"/>
  <c r="AW59" i="6"/>
  <c r="AX56" i="6" s="1"/>
  <c r="AK170" i="6" l="1"/>
  <c r="AL163" i="6" s="1"/>
  <c r="AG296" i="6"/>
  <c r="AG280" i="6" s="1"/>
  <c r="AG297" i="6"/>
  <c r="AG262" i="6" s="1"/>
  <c r="AG263" i="6" s="1"/>
  <c r="AG267" i="6" s="1"/>
  <c r="BF129" i="6"/>
  <c r="BG127" i="6" s="1"/>
  <c r="BG128" i="6" s="1"/>
  <c r="BF130" i="6"/>
  <c r="BF131" i="6" s="1"/>
  <c r="BF137" i="6" s="1"/>
  <c r="BF140" i="6" s="1"/>
  <c r="B89" i="13"/>
  <c r="K88" i="13"/>
  <c r="L88" i="13" s="1"/>
  <c r="AY318" i="6"/>
  <c r="AY320" i="6" s="1"/>
  <c r="AY326" i="6" s="1"/>
  <c r="AY329" i="6" s="1"/>
  <c r="AY332" i="6" s="1"/>
  <c r="AY336" i="6" s="1"/>
  <c r="AY338" i="6" s="1"/>
  <c r="AX57" i="6"/>
  <c r="AX59" i="6" s="1"/>
  <c r="AL164" i="6" l="1"/>
  <c r="AL167" i="6" s="1"/>
  <c r="AG269" i="6"/>
  <c r="S11" i="7" s="1"/>
  <c r="S10" i="7"/>
  <c r="AG281" i="6"/>
  <c r="AH275" i="6" s="1"/>
  <c r="AG298" i="6"/>
  <c r="AH290" i="6" s="1"/>
  <c r="AH291" i="6" s="1"/>
  <c r="BG129" i="6"/>
  <c r="BH127" i="6" s="1"/>
  <c r="BH128" i="6" s="1"/>
  <c r="BH130" i="6" s="1"/>
  <c r="BH131" i="6" s="1"/>
  <c r="BH137" i="6" s="1"/>
  <c r="BH140" i="6" s="1"/>
  <c r="BG130" i="6"/>
  <c r="BG131" i="6" s="1"/>
  <c r="BG137" i="6" s="1"/>
  <c r="BG140" i="6" s="1"/>
  <c r="B90" i="13"/>
  <c r="K89" i="13"/>
  <c r="L89" i="13" s="1"/>
  <c r="AY319" i="6"/>
  <c r="AZ317" i="6" s="1"/>
  <c r="AY56" i="6"/>
  <c r="AL169" i="6" l="1"/>
  <c r="AL142" i="6" s="1"/>
  <c r="AL143" i="6" s="1"/>
  <c r="AL146" i="6" s="1"/>
  <c r="AL148" i="6" s="1"/>
  <c r="AH276" i="6"/>
  <c r="AH277" i="6"/>
  <c r="BH129" i="6"/>
  <c r="BI127" i="6" s="1"/>
  <c r="BI128" i="6" s="1"/>
  <c r="BI130" i="6" s="1"/>
  <c r="BI131" i="6" s="1"/>
  <c r="BI137" i="6" s="1"/>
  <c r="BI140" i="6" s="1"/>
  <c r="B91" i="13"/>
  <c r="K90" i="13"/>
  <c r="L90" i="13" s="1"/>
  <c r="AZ318" i="6"/>
  <c r="AZ320" i="6" s="1"/>
  <c r="AZ326" i="6" s="1"/>
  <c r="AZ329" i="6" s="1"/>
  <c r="AZ332" i="6" s="1"/>
  <c r="AZ336" i="6" s="1"/>
  <c r="AZ338" i="6" s="1"/>
  <c r="AY57" i="6"/>
  <c r="AL170" i="6" l="1"/>
  <c r="AM163" i="6" s="1"/>
  <c r="AH252" i="6"/>
  <c r="AH254" i="6" s="1"/>
  <c r="AH255" i="6" s="1"/>
  <c r="AH257" i="6" s="1"/>
  <c r="AH278" i="6"/>
  <c r="AH279" i="6" s="1"/>
  <c r="AH295" i="6" s="1"/>
  <c r="BI129" i="6"/>
  <c r="BJ127" i="6" s="1"/>
  <c r="BJ128" i="6" s="1"/>
  <c r="BJ130" i="6" s="1"/>
  <c r="BJ131" i="6" s="1"/>
  <c r="BJ137" i="6" s="1"/>
  <c r="BJ140" i="6" s="1"/>
  <c r="B92" i="13"/>
  <c r="K91" i="13"/>
  <c r="L91" i="13" s="1"/>
  <c r="AZ319" i="6"/>
  <c r="BA317" i="6" s="1"/>
  <c r="AY59" i="6"/>
  <c r="AZ56" i="6" s="1"/>
  <c r="AM164" i="6" l="1"/>
  <c r="AM167" i="6" s="1"/>
  <c r="AH260" i="6"/>
  <c r="AH261" i="6"/>
  <c r="AH292" i="6" s="1"/>
  <c r="AH294" i="6" s="1"/>
  <c r="AH297" i="6" s="1"/>
  <c r="AH262" i="6" s="1"/>
  <c r="BJ129" i="6"/>
  <c r="BK127" i="6" s="1"/>
  <c r="BK128" i="6" s="1"/>
  <c r="B93" i="13"/>
  <c r="K92" i="13"/>
  <c r="L92" i="13" s="1"/>
  <c r="BA318" i="6"/>
  <c r="BA320" i="6" s="1"/>
  <c r="BA326" i="6" s="1"/>
  <c r="BA329" i="6" s="1"/>
  <c r="BA332" i="6" s="1"/>
  <c r="BA336" i="6" s="1"/>
  <c r="BA338" i="6" s="1"/>
  <c r="AZ57" i="6"/>
  <c r="AM169" i="6" l="1"/>
  <c r="AM142" i="6" s="1"/>
  <c r="AM143" i="6" s="1"/>
  <c r="AM146" i="6" s="1"/>
  <c r="AM148" i="6" s="1"/>
  <c r="AH263" i="6"/>
  <c r="AH267" i="6" s="1"/>
  <c r="AH296" i="6"/>
  <c r="BK130" i="6"/>
  <c r="BK131" i="6" s="1"/>
  <c r="BK137" i="6" s="1"/>
  <c r="BK140" i="6" s="1"/>
  <c r="B94" i="13"/>
  <c r="K93" i="13"/>
  <c r="L93" i="13" s="1"/>
  <c r="BA319" i="6"/>
  <c r="BB317" i="6" s="1"/>
  <c r="BK129" i="6"/>
  <c r="BL127" i="6" s="1"/>
  <c r="BL128" i="6" s="1"/>
  <c r="AZ59" i="6"/>
  <c r="BA56" i="6" s="1"/>
  <c r="AM170" i="6" l="1"/>
  <c r="AN163" i="6" s="1"/>
  <c r="AH269" i="6"/>
  <c r="T11" i="7" s="1"/>
  <c r="T10" i="7"/>
  <c r="AH298" i="6"/>
  <c r="AI290" i="6" s="1"/>
  <c r="AI291" i="6" s="1"/>
  <c r="AH280" i="6"/>
  <c r="AH281" i="6" s="1"/>
  <c r="AI275" i="6" s="1"/>
  <c r="AI277" i="6" s="1"/>
  <c r="BL130" i="6"/>
  <c r="BL131" i="6" s="1"/>
  <c r="BL137" i="6" s="1"/>
  <c r="BL140" i="6" s="1"/>
  <c r="B95" i="13"/>
  <c r="K94" i="13"/>
  <c r="L94" i="13" s="1"/>
  <c r="BB318" i="6"/>
  <c r="BB320" i="6" s="1"/>
  <c r="BB326" i="6" s="1"/>
  <c r="BB329" i="6" s="1"/>
  <c r="BB332" i="6" s="1"/>
  <c r="BB336" i="6" s="1"/>
  <c r="BB338" i="6" s="1"/>
  <c r="BL129" i="6"/>
  <c r="BM127" i="6" s="1"/>
  <c r="BM128" i="6" s="1"/>
  <c r="BA57" i="6"/>
  <c r="AN164" i="6" l="1"/>
  <c r="AN167" i="6" s="1"/>
  <c r="AI276" i="6"/>
  <c r="AI252" i="6" s="1"/>
  <c r="AI254" i="6" s="1"/>
  <c r="AI255" i="6" s="1"/>
  <c r="AI257" i="6" s="1"/>
  <c r="BM129" i="6"/>
  <c r="BN127" i="6" s="1"/>
  <c r="BN128" i="6" s="1"/>
  <c r="BM130" i="6"/>
  <c r="BM131" i="6" s="1"/>
  <c r="BM137" i="6" s="1"/>
  <c r="BM140" i="6" s="1"/>
  <c r="B96" i="13"/>
  <c r="K95" i="13"/>
  <c r="L95" i="13" s="1"/>
  <c r="BB319" i="6"/>
  <c r="BC317" i="6" s="1"/>
  <c r="BA59" i="6"/>
  <c r="BB56" i="6" s="1"/>
  <c r="AN169" i="6" l="1"/>
  <c r="AN142" i="6" s="1"/>
  <c r="AN143" i="6" s="1"/>
  <c r="AN146" i="6" s="1"/>
  <c r="AN148" i="6" s="1"/>
  <c r="AI278" i="6"/>
  <c r="AI279" i="6" s="1"/>
  <c r="AI295" i="6" s="1"/>
  <c r="AI260" i="6"/>
  <c r="AI261" i="6"/>
  <c r="AI292" i="6" s="1"/>
  <c r="AI294" i="6" s="1"/>
  <c r="BN130" i="6"/>
  <c r="BN131" i="6" s="1"/>
  <c r="BN137" i="6" s="1"/>
  <c r="BN140" i="6" s="1"/>
  <c r="B97" i="13"/>
  <c r="K96" i="13"/>
  <c r="L96" i="13" s="1"/>
  <c r="BC318" i="6"/>
  <c r="BC320" i="6" s="1"/>
  <c r="BC326" i="6" s="1"/>
  <c r="BC329" i="6" s="1"/>
  <c r="BC332" i="6" s="1"/>
  <c r="BC336" i="6" s="1"/>
  <c r="BC338" i="6" s="1"/>
  <c r="BN129" i="6"/>
  <c r="BO127" i="6" s="1"/>
  <c r="BO128" i="6" s="1"/>
  <c r="BB57" i="6"/>
  <c r="AN170" i="6" l="1"/>
  <c r="AO163" i="6" s="1"/>
  <c r="AO164" i="6" s="1"/>
  <c r="AO167" i="6" s="1"/>
  <c r="AI296" i="6"/>
  <c r="AI280" i="6" s="1"/>
  <c r="AI297" i="6"/>
  <c r="AI262" i="6" s="1"/>
  <c r="AI263" i="6" s="1"/>
  <c r="AI267" i="6" s="1"/>
  <c r="BO130" i="6"/>
  <c r="BO131" i="6" s="1"/>
  <c r="BO137" i="6" s="1"/>
  <c r="BO140" i="6" s="1"/>
  <c r="B98" i="13"/>
  <c r="K97" i="13"/>
  <c r="L97" i="13" s="1"/>
  <c r="BC319" i="6"/>
  <c r="BD317" i="6" s="1"/>
  <c r="BO129" i="6"/>
  <c r="BB59" i="6"/>
  <c r="BC56" i="6" s="1"/>
  <c r="AO169" i="6" l="1"/>
  <c r="AO142" i="6" s="1"/>
  <c r="AO143" i="6" s="1"/>
  <c r="AO146" i="6" s="1"/>
  <c r="AO148" i="6" s="1"/>
  <c r="AI269" i="6"/>
  <c r="U11" i="7" s="1"/>
  <c r="U10" i="7"/>
  <c r="AI298" i="6"/>
  <c r="AJ290" i="6" s="1"/>
  <c r="AJ291" i="6" s="1"/>
  <c r="AI281" i="6"/>
  <c r="AJ275" i="6" s="1"/>
  <c r="B99" i="13"/>
  <c r="K98" i="13"/>
  <c r="L98" i="13" s="1"/>
  <c r="BD318" i="6"/>
  <c r="BD320" i="6" s="1"/>
  <c r="BD326" i="6" s="1"/>
  <c r="BD329" i="6" s="1"/>
  <c r="BD332" i="6" s="1"/>
  <c r="BD336" i="6" s="1"/>
  <c r="BD338" i="6" s="1"/>
  <c r="BC57" i="6"/>
  <c r="AO170" i="6" l="1"/>
  <c r="AP163" i="6" s="1"/>
  <c r="AJ276" i="6"/>
  <c r="AJ277" i="6"/>
  <c r="B100" i="13"/>
  <c r="K99" i="13"/>
  <c r="L99" i="13" s="1"/>
  <c r="BD319" i="6"/>
  <c r="BE317" i="6" s="1"/>
  <c r="BC59" i="6"/>
  <c r="BD56" i="6" s="1"/>
  <c r="AP164" i="6" l="1"/>
  <c r="AP167" i="6" s="1"/>
  <c r="AJ252" i="6"/>
  <c r="AJ254" i="6" s="1"/>
  <c r="AJ255" i="6" s="1"/>
  <c r="AJ257" i="6" s="1"/>
  <c r="AJ278" i="6"/>
  <c r="AJ279" i="6" s="1"/>
  <c r="AJ295" i="6" s="1"/>
  <c r="B101" i="13"/>
  <c r="K100" i="13"/>
  <c r="L100" i="13" s="1"/>
  <c r="BE318" i="6"/>
  <c r="BE320" i="6" s="1"/>
  <c r="BE326" i="6" s="1"/>
  <c r="BE329" i="6" s="1"/>
  <c r="BE332" i="6" s="1"/>
  <c r="BE336" i="6" s="1"/>
  <c r="BE338" i="6" s="1"/>
  <c r="BD57" i="6"/>
  <c r="AP169" i="6" l="1"/>
  <c r="AP142" i="6" s="1"/>
  <c r="AP143" i="6" s="1"/>
  <c r="AP146" i="6" s="1"/>
  <c r="AP148" i="6" s="1"/>
  <c r="AJ261" i="6"/>
  <c r="AJ292" i="6" s="1"/>
  <c r="AJ294" i="6" s="1"/>
  <c r="AJ260" i="6"/>
  <c r="B102" i="13"/>
  <c r="K101" i="13"/>
  <c r="L101" i="13" s="1"/>
  <c r="BE319" i="6"/>
  <c r="BF317" i="6" s="1"/>
  <c r="BD59" i="6"/>
  <c r="BE56" i="6" s="1"/>
  <c r="AP170" i="6" l="1"/>
  <c r="AQ163" i="6" s="1"/>
  <c r="AJ297" i="6"/>
  <c r="AJ262" i="6" s="1"/>
  <c r="AJ263" i="6" s="1"/>
  <c r="AJ267" i="6" s="1"/>
  <c r="AJ296" i="6"/>
  <c r="B103" i="13"/>
  <c r="K102" i="13"/>
  <c r="L102" i="13" s="1"/>
  <c r="BF318" i="6"/>
  <c r="BF320" i="6" s="1"/>
  <c r="BF326" i="6" s="1"/>
  <c r="BF329" i="6" s="1"/>
  <c r="BF332" i="6" s="1"/>
  <c r="BF336" i="6" s="1"/>
  <c r="BF338" i="6" s="1"/>
  <c r="BE57" i="6"/>
  <c r="AQ164" i="6" l="1"/>
  <c r="AQ167" i="6" s="1"/>
  <c r="AJ269" i="6"/>
  <c r="V11" i="7" s="1"/>
  <c r="V10" i="7"/>
  <c r="AJ298" i="6"/>
  <c r="AK290" i="6" s="1"/>
  <c r="AK291" i="6" s="1"/>
  <c r="AJ280" i="6"/>
  <c r="AJ281" i="6" s="1"/>
  <c r="AK275" i="6" s="1"/>
  <c r="B104" i="13"/>
  <c r="K103" i="13"/>
  <c r="L103" i="13" s="1"/>
  <c r="BF319" i="6"/>
  <c r="BG317" i="6" s="1"/>
  <c r="BE59" i="6"/>
  <c r="BF56" i="6" s="1"/>
  <c r="AQ169" i="6" l="1"/>
  <c r="AQ142" i="6" s="1"/>
  <c r="AQ143" i="6" s="1"/>
  <c r="AQ146" i="6" s="1"/>
  <c r="AQ148" i="6" s="1"/>
  <c r="AK277" i="6"/>
  <c r="AK276" i="6"/>
  <c r="B105" i="13"/>
  <c r="K104" i="13"/>
  <c r="L104" i="13" s="1"/>
  <c r="BG318" i="6"/>
  <c r="BG320" i="6" s="1"/>
  <c r="BG326" i="6" s="1"/>
  <c r="BG329" i="6" s="1"/>
  <c r="BG332" i="6" s="1"/>
  <c r="BG336" i="6" s="1"/>
  <c r="BG338" i="6" s="1"/>
  <c r="BF57" i="6"/>
  <c r="AQ170" i="6" l="1"/>
  <c r="AR163" i="6" s="1"/>
  <c r="AK252" i="6"/>
  <c r="AK254" i="6" s="1"/>
  <c r="AK255" i="6" s="1"/>
  <c r="AK257" i="6" s="1"/>
  <c r="AK278" i="6"/>
  <c r="AK279" i="6" s="1"/>
  <c r="AK295" i="6" s="1"/>
  <c r="B106" i="13"/>
  <c r="K105" i="13"/>
  <c r="L105" i="13" s="1"/>
  <c r="BG319" i="6"/>
  <c r="BH317" i="6" s="1"/>
  <c r="BF59" i="6"/>
  <c r="BG56" i="6" s="1"/>
  <c r="AR164" i="6" l="1"/>
  <c r="AR167" i="6" s="1"/>
  <c r="AK260" i="6"/>
  <c r="AK261" i="6"/>
  <c r="AK292" i="6" s="1"/>
  <c r="AK294" i="6" s="1"/>
  <c r="B107" i="13"/>
  <c r="K106" i="13"/>
  <c r="L106" i="13" s="1"/>
  <c r="BH318" i="6"/>
  <c r="BH320" i="6" s="1"/>
  <c r="BH326" i="6" s="1"/>
  <c r="BH329" i="6" s="1"/>
  <c r="BH332" i="6" s="1"/>
  <c r="BH336" i="6" s="1"/>
  <c r="BH338" i="6" s="1"/>
  <c r="BG57" i="6"/>
  <c r="AR169" i="6" l="1"/>
  <c r="AR142" i="6" s="1"/>
  <c r="AR143" i="6" s="1"/>
  <c r="AR146" i="6" s="1"/>
  <c r="AK297" i="6"/>
  <c r="AK262" i="6" s="1"/>
  <c r="AK263" i="6" s="1"/>
  <c r="AK267" i="6" s="1"/>
  <c r="AK296" i="6"/>
  <c r="B108" i="13"/>
  <c r="K107" i="13"/>
  <c r="L107" i="13" s="1"/>
  <c r="BH319" i="6"/>
  <c r="BI317" i="6" s="1"/>
  <c r="BG59" i="6"/>
  <c r="BH56" i="6" s="1"/>
  <c r="AR170" i="6" l="1"/>
  <c r="AS163" i="6" s="1"/>
  <c r="G36" i="6"/>
  <c r="AR148" i="6"/>
  <c r="G38" i="6" s="1"/>
  <c r="AK269" i="6"/>
  <c r="W11" i="7" s="1"/>
  <c r="W10" i="7"/>
  <c r="AK298" i="6"/>
  <c r="AL290" i="6" s="1"/>
  <c r="AL291" i="6" s="1"/>
  <c r="AK280" i="6"/>
  <c r="AK281" i="6" s="1"/>
  <c r="AL275" i="6" s="1"/>
  <c r="B109" i="13"/>
  <c r="K108" i="13"/>
  <c r="L108" i="13" s="1"/>
  <c r="BI318" i="6"/>
  <c r="BI320" i="6" s="1"/>
  <c r="BI326" i="6" s="1"/>
  <c r="BI329" i="6" s="1"/>
  <c r="BI332" i="6" s="1"/>
  <c r="BI336" i="6" s="1"/>
  <c r="BI338" i="6" s="1"/>
  <c r="BH57" i="6"/>
  <c r="AS164" i="6" l="1"/>
  <c r="AS167" i="6" s="1"/>
  <c r="AL276" i="6"/>
  <c r="AL277" i="6"/>
  <c r="B110" i="13"/>
  <c r="K109" i="13"/>
  <c r="L109" i="13" s="1"/>
  <c r="BI319" i="6"/>
  <c r="BJ317" i="6" s="1"/>
  <c r="BH59" i="6"/>
  <c r="BI56" i="6" s="1"/>
  <c r="AS169" i="6" l="1"/>
  <c r="AS142" i="6" s="1"/>
  <c r="AS143" i="6" s="1"/>
  <c r="AS146" i="6" s="1"/>
  <c r="AS148" i="6" s="1"/>
  <c r="AL252" i="6"/>
  <c r="AL254" i="6" s="1"/>
  <c r="AL255" i="6" s="1"/>
  <c r="AL257" i="6" s="1"/>
  <c r="AL278" i="6"/>
  <c r="AL279" i="6" s="1"/>
  <c r="AL295" i="6" s="1"/>
  <c r="B111" i="13"/>
  <c r="K110" i="13"/>
  <c r="L110" i="13" s="1"/>
  <c r="BJ318" i="6"/>
  <c r="BJ320" i="6" s="1"/>
  <c r="BJ326" i="6" s="1"/>
  <c r="BJ329" i="6" s="1"/>
  <c r="BJ332" i="6" s="1"/>
  <c r="BJ336" i="6" s="1"/>
  <c r="BJ338" i="6" s="1"/>
  <c r="BI57" i="6"/>
  <c r="BI59" i="6" s="1"/>
  <c r="AS170" i="6" l="1"/>
  <c r="AT163" i="6" s="1"/>
  <c r="AL261" i="6"/>
  <c r="AL292" i="6" s="1"/>
  <c r="AL294" i="6" s="1"/>
  <c r="AL260" i="6"/>
  <c r="B112" i="13"/>
  <c r="K112" i="13" s="1"/>
  <c r="L112" i="13" s="1"/>
  <c r="K111" i="13"/>
  <c r="L111" i="13" s="1"/>
  <c r="BJ319" i="6"/>
  <c r="BK317" i="6" s="1"/>
  <c r="BJ56" i="6"/>
  <c r="AT164" i="6" l="1"/>
  <c r="AT167" i="6" s="1"/>
  <c r="AL296" i="6"/>
  <c r="AL280" i="6" s="1"/>
  <c r="AL297" i="6"/>
  <c r="AL262" i="6" s="1"/>
  <c r="AL263" i="6" s="1"/>
  <c r="AL267" i="6" s="1"/>
  <c r="BK318" i="6"/>
  <c r="BK320" i="6" s="1"/>
  <c r="BK326" i="6" s="1"/>
  <c r="BK329" i="6" s="1"/>
  <c r="BK332" i="6" s="1"/>
  <c r="BK336" i="6" s="1"/>
  <c r="BK338" i="6" s="1"/>
  <c r="BJ57" i="6"/>
  <c r="BJ59" i="6" s="1"/>
  <c r="AT169" i="6" l="1"/>
  <c r="AT142" i="6" s="1"/>
  <c r="AT143" i="6" s="1"/>
  <c r="AT146" i="6" s="1"/>
  <c r="AT148" i="6" s="1"/>
  <c r="AL269" i="6"/>
  <c r="X11" i="7" s="1"/>
  <c r="X10" i="7"/>
  <c r="AL281" i="6"/>
  <c r="AM275" i="6" s="1"/>
  <c r="AL298" i="6"/>
  <c r="AM290" i="6" s="1"/>
  <c r="AM291" i="6" s="1"/>
  <c r="BK319" i="6"/>
  <c r="BL317" i="6" s="1"/>
  <c r="BK56" i="6"/>
  <c r="AT170" i="6" l="1"/>
  <c r="AU163" i="6" s="1"/>
  <c r="AM276" i="6"/>
  <c r="AM277" i="6"/>
  <c r="BL318" i="6"/>
  <c r="BL320" i="6" s="1"/>
  <c r="BL326" i="6" s="1"/>
  <c r="BL329" i="6" s="1"/>
  <c r="BL332" i="6" s="1"/>
  <c r="BL336" i="6" s="1"/>
  <c r="BL338" i="6" s="1"/>
  <c r="BK57" i="6"/>
  <c r="BK59" i="6" s="1"/>
  <c r="AU164" i="6" l="1"/>
  <c r="AU167" i="6" s="1"/>
  <c r="AM278" i="6"/>
  <c r="AM279" i="6" s="1"/>
  <c r="AM295" i="6" s="1"/>
  <c r="AM252" i="6"/>
  <c r="AM254" i="6" s="1"/>
  <c r="AM255" i="6" s="1"/>
  <c r="AM257" i="6" s="1"/>
  <c r="BL319" i="6"/>
  <c r="BM317" i="6" s="1"/>
  <c r="BL56" i="6"/>
  <c r="AU169" i="6" l="1"/>
  <c r="AU142" i="6" s="1"/>
  <c r="AU143" i="6" s="1"/>
  <c r="AU146" i="6" s="1"/>
  <c r="AU148" i="6" s="1"/>
  <c r="AM260" i="6"/>
  <c r="AM261" i="6"/>
  <c r="AM292" i="6" s="1"/>
  <c r="AM294" i="6" s="1"/>
  <c r="BM318" i="6"/>
  <c r="BM320" i="6" s="1"/>
  <c r="BM326" i="6" s="1"/>
  <c r="BM329" i="6" s="1"/>
  <c r="BM332" i="6" s="1"/>
  <c r="BM336" i="6" s="1"/>
  <c r="BM338" i="6" s="1"/>
  <c r="BL57" i="6"/>
  <c r="BL59" i="6" s="1"/>
  <c r="AU170" i="6" l="1"/>
  <c r="AV163" i="6" s="1"/>
  <c r="AM297" i="6"/>
  <c r="AM262" i="6" s="1"/>
  <c r="AM263" i="6" s="1"/>
  <c r="AM267" i="6" s="1"/>
  <c r="AM296" i="6"/>
  <c r="BM319" i="6"/>
  <c r="BN317" i="6" s="1"/>
  <c r="BM56" i="6"/>
  <c r="AV164" i="6" l="1"/>
  <c r="AV167" i="6" s="1"/>
  <c r="AM269" i="6"/>
  <c r="Y11" i="7" s="1"/>
  <c r="Y10" i="7"/>
  <c r="AM298" i="6"/>
  <c r="AN290" i="6" s="1"/>
  <c r="AN291" i="6" s="1"/>
  <c r="AM280" i="6"/>
  <c r="AM281" i="6" s="1"/>
  <c r="AN275" i="6" s="1"/>
  <c r="BN318" i="6"/>
  <c r="BN320" i="6" s="1"/>
  <c r="BN326" i="6" s="1"/>
  <c r="BN329" i="6" s="1"/>
  <c r="BN332" i="6" s="1"/>
  <c r="BN336" i="6" s="1"/>
  <c r="BN338" i="6" s="1"/>
  <c r="BM57" i="6"/>
  <c r="BM59" i="6" s="1"/>
  <c r="BN56" i="6" s="1"/>
  <c r="AV169" i="6" l="1"/>
  <c r="AV142" i="6" s="1"/>
  <c r="AV143" i="6" s="1"/>
  <c r="AV146" i="6" s="1"/>
  <c r="AV148" i="6" s="1"/>
  <c r="AN277" i="6"/>
  <c r="AN276" i="6"/>
  <c r="BN319" i="6"/>
  <c r="BO317" i="6" s="1"/>
  <c r="BN57" i="6"/>
  <c r="AV170" i="6" l="1"/>
  <c r="AW163" i="6" s="1"/>
  <c r="AN252" i="6"/>
  <c r="AN254" i="6" s="1"/>
  <c r="AN255" i="6" s="1"/>
  <c r="AN257" i="6" s="1"/>
  <c r="AN278" i="6"/>
  <c r="AN279" i="6" s="1"/>
  <c r="AN295" i="6" s="1"/>
  <c r="BO318" i="6"/>
  <c r="BO320" i="6" s="1"/>
  <c r="BO326" i="6" s="1"/>
  <c r="BO329" i="6" s="1"/>
  <c r="BO332" i="6" s="1"/>
  <c r="BO336" i="6" s="1"/>
  <c r="BO338" i="6" s="1"/>
  <c r="BN59" i="6"/>
  <c r="BO56" i="6" s="1"/>
  <c r="AW164" i="6" l="1"/>
  <c r="AW167" i="6" s="1"/>
  <c r="AN260" i="6"/>
  <c r="AN261" i="6"/>
  <c r="AN292" i="6" s="1"/>
  <c r="AN294" i="6" s="1"/>
  <c r="BO319" i="6"/>
  <c r="BO57" i="6"/>
  <c r="AW169" i="6" l="1"/>
  <c r="AW142" i="6" s="1"/>
  <c r="AW143" i="6" s="1"/>
  <c r="AW146" i="6" s="1"/>
  <c r="AW148" i="6" s="1"/>
  <c r="AN296" i="6"/>
  <c r="AN280" i="6" s="1"/>
  <c r="AN297" i="6"/>
  <c r="AN262" i="6" s="1"/>
  <c r="AN263" i="6" s="1"/>
  <c r="AN267" i="6" s="1"/>
  <c r="BO59" i="6"/>
  <c r="AW170" i="6" l="1"/>
  <c r="AX163" i="6" s="1"/>
  <c r="AX164" i="6" s="1"/>
  <c r="AX167" i="6" s="1"/>
  <c r="AX169" i="6" s="1"/>
  <c r="AN269" i="6"/>
  <c r="Z11" i="7" s="1"/>
  <c r="Z10" i="7"/>
  <c r="AN281" i="6"/>
  <c r="AO275" i="6" s="1"/>
  <c r="AN298" i="6"/>
  <c r="AO290" i="6" s="1"/>
  <c r="AO291" i="6" s="1"/>
  <c r="R113" i="6"/>
  <c r="R82" i="6" s="1"/>
  <c r="R112" i="6"/>
  <c r="AX170" i="6" l="1"/>
  <c r="AY163" i="6" s="1"/>
  <c r="AX142" i="6"/>
  <c r="AX143" i="6" s="1"/>
  <c r="AX146" i="6" s="1"/>
  <c r="AX148" i="6" s="1"/>
  <c r="AO276" i="6"/>
  <c r="AO277" i="6"/>
  <c r="R114" i="6"/>
  <c r="S106" i="6" s="1"/>
  <c r="S107" i="6" s="1"/>
  <c r="R97" i="6"/>
  <c r="AY164" i="6" l="1"/>
  <c r="AY167" i="6" s="1"/>
  <c r="AO278" i="6"/>
  <c r="AO279" i="6" s="1"/>
  <c r="AO295" i="6" s="1"/>
  <c r="AO252" i="6"/>
  <c r="AO254" i="6" s="1"/>
  <c r="AO255" i="6" s="1"/>
  <c r="AO257" i="6" s="1"/>
  <c r="R98" i="6"/>
  <c r="S92" i="6" s="1"/>
  <c r="AY169" i="6" l="1"/>
  <c r="AY142" i="6" s="1"/>
  <c r="AY143" i="6" s="1"/>
  <c r="AY146" i="6" s="1"/>
  <c r="AY148" i="6" s="1"/>
  <c r="AO261" i="6"/>
  <c r="AO292" i="6" s="1"/>
  <c r="AO294" i="6" s="1"/>
  <c r="AO260" i="6"/>
  <c r="S94" i="6"/>
  <c r="S93" i="6"/>
  <c r="S72" i="6" s="1"/>
  <c r="S74" i="6" s="1"/>
  <c r="AY170" i="6" l="1"/>
  <c r="AZ163" i="6" s="1"/>
  <c r="AZ164" i="6" s="1"/>
  <c r="AZ167" i="6" s="1"/>
  <c r="AO297" i="6"/>
  <c r="AO262" i="6" s="1"/>
  <c r="AO263" i="6" s="1"/>
  <c r="AO267" i="6" s="1"/>
  <c r="AO296" i="6"/>
  <c r="S95" i="6"/>
  <c r="S96" i="6" s="1"/>
  <c r="S111" i="6" s="1"/>
  <c r="S75" i="6"/>
  <c r="S77" i="6" s="1"/>
  <c r="S80" i="6" s="1"/>
  <c r="S81" i="6"/>
  <c r="S108" i="6" s="1"/>
  <c r="S110" i="6" s="1"/>
  <c r="AZ169" i="6" l="1"/>
  <c r="AZ142" i="6" s="1"/>
  <c r="AZ143" i="6" s="1"/>
  <c r="AZ146" i="6" s="1"/>
  <c r="AZ148" i="6" s="1"/>
  <c r="AO269" i="6"/>
  <c r="AA11" i="7" s="1"/>
  <c r="AA10" i="7"/>
  <c r="AO298" i="6"/>
  <c r="AP290" i="6" s="1"/>
  <c r="AP291" i="6" s="1"/>
  <c r="AO280" i="6"/>
  <c r="AO281" i="6" s="1"/>
  <c r="AP275" i="6" s="1"/>
  <c r="S83" i="6"/>
  <c r="S86" i="6" s="1"/>
  <c r="AZ170" i="6" l="1"/>
  <c r="BA163" i="6" s="1"/>
  <c r="BA164" i="6" s="1"/>
  <c r="BA167" i="6" s="1"/>
  <c r="BA169" i="6" s="1"/>
  <c r="S88" i="6"/>
  <c r="E8" i="7" s="1"/>
  <c r="E7" i="7"/>
  <c r="AP276" i="6"/>
  <c r="AP277" i="6"/>
  <c r="S113" i="6"/>
  <c r="S82" i="6" s="1"/>
  <c r="S112" i="6"/>
  <c r="BA170" i="6" l="1"/>
  <c r="BB163" i="6" s="1"/>
  <c r="BB164" i="6" s="1"/>
  <c r="BB167" i="6" s="1"/>
  <c r="BB169" i="6" s="1"/>
  <c r="BA142" i="6"/>
  <c r="BA143" i="6" s="1"/>
  <c r="BA146" i="6" s="1"/>
  <c r="BA148" i="6" s="1"/>
  <c r="AP278" i="6"/>
  <c r="AP279" i="6" s="1"/>
  <c r="AP295" i="6" s="1"/>
  <c r="AP252" i="6"/>
  <c r="AP254" i="6" s="1"/>
  <c r="AP255" i="6" s="1"/>
  <c r="AP257" i="6" s="1"/>
  <c r="S114" i="6"/>
  <c r="T106" i="6" s="1"/>
  <c r="T107" i="6" s="1"/>
  <c r="S97" i="6"/>
  <c r="S98" i="6" s="1"/>
  <c r="T92" i="6" s="1"/>
  <c r="BB170" i="6" l="1"/>
  <c r="BC163" i="6" s="1"/>
  <c r="BC164" i="6" s="1"/>
  <c r="BC167" i="6" s="1"/>
  <c r="BC169" i="6" s="1"/>
  <c r="BB142" i="6"/>
  <c r="BB143" i="6" s="1"/>
  <c r="BB146" i="6" s="1"/>
  <c r="BB148" i="6" s="1"/>
  <c r="AP260" i="6"/>
  <c r="AP261" i="6"/>
  <c r="AP292" i="6" s="1"/>
  <c r="AP294" i="6" s="1"/>
  <c r="T94" i="6"/>
  <c r="T93" i="6"/>
  <c r="BC170" i="6" l="1"/>
  <c r="BD163" i="6" s="1"/>
  <c r="BD164" i="6" s="1"/>
  <c r="BD167" i="6" s="1"/>
  <c r="BD169" i="6" s="1"/>
  <c r="BC142" i="6"/>
  <c r="BC143" i="6" s="1"/>
  <c r="BC146" i="6" s="1"/>
  <c r="BC148" i="6" s="1"/>
  <c r="AP297" i="6"/>
  <c r="AP262" i="6" s="1"/>
  <c r="AP263" i="6" s="1"/>
  <c r="AP267" i="6" s="1"/>
  <c r="AP296" i="6"/>
  <c r="AP280" i="6" s="1"/>
  <c r="T95" i="6"/>
  <c r="T96" i="6" s="1"/>
  <c r="T72" i="6"/>
  <c r="T74" i="6" s="1"/>
  <c r="BD170" i="6" l="1"/>
  <c r="BE163" i="6" s="1"/>
  <c r="BD142" i="6"/>
  <c r="BD143" i="6" s="1"/>
  <c r="BD146" i="6" s="1"/>
  <c r="BD148" i="6" s="1"/>
  <c r="AP269" i="6"/>
  <c r="AB11" i="7" s="1"/>
  <c r="AB10" i="7"/>
  <c r="AP298" i="6"/>
  <c r="AQ290" i="6" s="1"/>
  <c r="AQ291" i="6" s="1"/>
  <c r="AP281" i="6"/>
  <c r="AQ275" i="6" s="1"/>
  <c r="T75" i="6"/>
  <c r="T77" i="6" s="1"/>
  <c r="T80" i="6" s="1"/>
  <c r="T81" i="6"/>
  <c r="T108" i="6" s="1"/>
  <c r="T110" i="6" s="1"/>
  <c r="T111" i="6"/>
  <c r="BE164" i="6" l="1"/>
  <c r="BE167" i="6" s="1"/>
  <c r="BE169" i="6" s="1"/>
  <c r="AQ277" i="6"/>
  <c r="AQ276" i="6"/>
  <c r="T83" i="6"/>
  <c r="T86" i="6" s="1"/>
  <c r="T113" i="6"/>
  <c r="T82" i="6" s="1"/>
  <c r="T112" i="6"/>
  <c r="T97" i="6" s="1"/>
  <c r="T98" i="6" s="1"/>
  <c r="U92" i="6" s="1"/>
  <c r="BE170" i="6" l="1"/>
  <c r="BF163" i="6" s="1"/>
  <c r="BF164" i="6" s="1"/>
  <c r="BF167" i="6" s="1"/>
  <c r="BE142" i="6"/>
  <c r="BE143" i="6" s="1"/>
  <c r="BE146" i="6" s="1"/>
  <c r="BE148" i="6" s="1"/>
  <c r="T88" i="6"/>
  <c r="F8" i="7" s="1"/>
  <c r="F7" i="7"/>
  <c r="AQ252" i="6"/>
  <c r="AQ254" i="6" s="1"/>
  <c r="AQ255" i="6" s="1"/>
  <c r="AQ257" i="6" s="1"/>
  <c r="AQ278" i="6"/>
  <c r="AQ279" i="6" s="1"/>
  <c r="AQ295" i="6" s="1"/>
  <c r="T114" i="6"/>
  <c r="U106" i="6" s="1"/>
  <c r="U107" i="6" s="1"/>
  <c r="U94" i="6"/>
  <c r="U93" i="6"/>
  <c r="BF169" i="6" l="1"/>
  <c r="BF142" i="6" s="1"/>
  <c r="BF143" i="6" s="1"/>
  <c r="BF146" i="6" s="1"/>
  <c r="BF148" i="6" s="1"/>
  <c r="AQ261" i="6"/>
  <c r="AQ292" i="6" s="1"/>
  <c r="AQ294" i="6" s="1"/>
  <c r="AQ260" i="6"/>
  <c r="U95" i="6"/>
  <c r="U96" i="6" s="1"/>
  <c r="U72" i="6"/>
  <c r="U74" i="6" s="1"/>
  <c r="BF170" i="6" l="1"/>
  <c r="BG163" i="6" s="1"/>
  <c r="AQ297" i="6"/>
  <c r="AQ262" i="6" s="1"/>
  <c r="AQ263" i="6" s="1"/>
  <c r="AQ267" i="6" s="1"/>
  <c r="AQ296" i="6"/>
  <c r="AQ280" i="6" s="1"/>
  <c r="U111" i="6"/>
  <c r="U75" i="6"/>
  <c r="U77" i="6" s="1"/>
  <c r="U80" i="6" s="1"/>
  <c r="U81" i="6"/>
  <c r="U108" i="6" s="1"/>
  <c r="U110" i="6" s="1"/>
  <c r="BG164" i="6" l="1"/>
  <c r="BG167" i="6" s="1"/>
  <c r="AQ269" i="6"/>
  <c r="AC11" i="7" s="1"/>
  <c r="AC10" i="7"/>
  <c r="AQ298" i="6"/>
  <c r="AR290" i="6" s="1"/>
  <c r="AR291" i="6" s="1"/>
  <c r="AQ281" i="6"/>
  <c r="AR275" i="6" s="1"/>
  <c r="U112" i="6"/>
  <c r="U97" i="6" s="1"/>
  <c r="U98" i="6" s="1"/>
  <c r="V92" i="6" s="1"/>
  <c r="U113" i="6"/>
  <c r="U82" i="6" s="1"/>
  <c r="U83" i="6"/>
  <c r="U86" i="6" s="1"/>
  <c r="BG169" i="6" l="1"/>
  <c r="BG142" i="6" s="1"/>
  <c r="BG143" i="6" s="1"/>
  <c r="BG146" i="6" s="1"/>
  <c r="BG148" i="6" s="1"/>
  <c r="U88" i="6"/>
  <c r="G8" i="7" s="1"/>
  <c r="G7" i="7"/>
  <c r="AR276" i="6"/>
  <c r="AR277" i="6"/>
  <c r="U114" i="6"/>
  <c r="V106" i="6" s="1"/>
  <c r="V107" i="6" s="1"/>
  <c r="V94" i="6"/>
  <c r="V93" i="6"/>
  <c r="BG170" i="6" l="1"/>
  <c r="BH163" i="6" s="1"/>
  <c r="BH164" i="6" s="1"/>
  <c r="BH167" i="6" s="1"/>
  <c r="BH169" i="6" s="1"/>
  <c r="AR278" i="6"/>
  <c r="AR279" i="6" s="1"/>
  <c r="AR295" i="6" s="1"/>
  <c r="AR252" i="6"/>
  <c r="AR254" i="6" s="1"/>
  <c r="AR255" i="6" s="1"/>
  <c r="AR257" i="6" s="1"/>
  <c r="V72" i="6"/>
  <c r="V74" i="6" s="1"/>
  <c r="V95" i="6"/>
  <c r="V96" i="6" s="1"/>
  <c r="BH170" i="6" l="1"/>
  <c r="BI163" i="6" s="1"/>
  <c r="BI164" i="6" s="1"/>
  <c r="BI167" i="6" s="1"/>
  <c r="BI169" i="6" s="1"/>
  <c r="BH142" i="6"/>
  <c r="BH143" i="6" s="1"/>
  <c r="BH146" i="6" s="1"/>
  <c r="BH148" i="6" s="1"/>
  <c r="AR261" i="6"/>
  <c r="AR292" i="6" s="1"/>
  <c r="AR294" i="6" s="1"/>
  <c r="AR260" i="6"/>
  <c r="V111" i="6"/>
  <c r="V81" i="6"/>
  <c r="V108" i="6" s="1"/>
  <c r="V110" i="6" s="1"/>
  <c r="V75" i="6"/>
  <c r="V77" i="6" s="1"/>
  <c r="V80" i="6" s="1"/>
  <c r="BI170" i="6" l="1"/>
  <c r="BJ163" i="6" s="1"/>
  <c r="BI142" i="6"/>
  <c r="BI143" i="6" s="1"/>
  <c r="BI146" i="6" s="1"/>
  <c r="BI148" i="6" s="1"/>
  <c r="V83" i="6"/>
  <c r="V86" i="6" s="1"/>
  <c r="AR296" i="6"/>
  <c r="AR280" i="6" s="1"/>
  <c r="AR297" i="6"/>
  <c r="V112" i="6"/>
  <c r="V97" i="6" s="1"/>
  <c r="V98" i="6" s="1"/>
  <c r="W92" i="6" s="1"/>
  <c r="V113" i="6"/>
  <c r="V82" i="6" s="1"/>
  <c r="BJ164" i="6" l="1"/>
  <c r="BJ167" i="6" s="1"/>
  <c r="BJ169" i="6" s="1"/>
  <c r="V88" i="6"/>
  <c r="H8" i="7" s="1"/>
  <c r="H7" i="7"/>
  <c r="AR298" i="6"/>
  <c r="AS290" i="6" s="1"/>
  <c r="AS291" i="6" s="1"/>
  <c r="AR262" i="6"/>
  <c r="AR263" i="6" s="1"/>
  <c r="AR267" i="6" s="1"/>
  <c r="AD10" i="7" s="1"/>
  <c r="AR281" i="6"/>
  <c r="AS275" i="6" s="1"/>
  <c r="W94" i="6"/>
  <c r="W93" i="6"/>
  <c r="V114" i="6"/>
  <c r="W106" i="6" s="1"/>
  <c r="W107" i="6" s="1"/>
  <c r="BJ170" i="6" l="1"/>
  <c r="BK163" i="6" s="1"/>
  <c r="BK164" i="6" s="1"/>
  <c r="BK167" i="6" s="1"/>
  <c r="BJ142" i="6"/>
  <c r="BJ143" i="6" s="1"/>
  <c r="BJ146" i="6" s="1"/>
  <c r="BJ148" i="6" s="1"/>
  <c r="AR269" i="6"/>
  <c r="AD11" i="7" s="1"/>
  <c r="G211" i="6"/>
  <c r="AS277" i="6"/>
  <c r="AS276" i="6"/>
  <c r="W95" i="6"/>
  <c r="W96" i="6" s="1"/>
  <c r="W72" i="6"/>
  <c r="W74" i="6" s="1"/>
  <c r="BK169" i="6" l="1"/>
  <c r="BK142" i="6" s="1"/>
  <c r="BK143" i="6" s="1"/>
  <c r="BK146" i="6" s="1"/>
  <c r="BK148" i="6" s="1"/>
  <c r="G213" i="6"/>
  <c r="AS252" i="6"/>
  <c r="AS254" i="6" s="1"/>
  <c r="AS255" i="6" s="1"/>
  <c r="AS257" i="6" s="1"/>
  <c r="AS278" i="6"/>
  <c r="AS279" i="6" s="1"/>
  <c r="AS295" i="6" s="1"/>
  <c r="W81" i="6"/>
  <c r="W108" i="6" s="1"/>
  <c r="W110" i="6" s="1"/>
  <c r="W75" i="6"/>
  <c r="W77" i="6" s="1"/>
  <c r="W80" i="6" s="1"/>
  <c r="W111" i="6"/>
  <c r="BK170" i="6" l="1"/>
  <c r="BL163" i="6" s="1"/>
  <c r="AS261" i="6"/>
  <c r="AS292" i="6" s="1"/>
  <c r="AS294" i="6" s="1"/>
  <c r="AS260" i="6"/>
  <c r="W83" i="6"/>
  <c r="W86" i="6" s="1"/>
  <c r="W112" i="6"/>
  <c r="W97" i="6" s="1"/>
  <c r="W98" i="6" s="1"/>
  <c r="X92" i="6" s="1"/>
  <c r="W113" i="6"/>
  <c r="W82" i="6" s="1"/>
  <c r="BL164" i="6" l="1"/>
  <c r="BL167" i="6" s="1"/>
  <c r="W88" i="6"/>
  <c r="I8" i="7" s="1"/>
  <c r="I7" i="7"/>
  <c r="AS296" i="6"/>
  <c r="AS280" i="6" s="1"/>
  <c r="AS297" i="6"/>
  <c r="W114" i="6"/>
  <c r="X106" i="6" s="1"/>
  <c r="X107" i="6" s="1"/>
  <c r="X94" i="6"/>
  <c r="X93" i="6"/>
  <c r="BL169" i="6" l="1"/>
  <c r="BL142" i="6" s="1"/>
  <c r="BL143" i="6" s="1"/>
  <c r="BL146" i="6" s="1"/>
  <c r="BL148" i="6" s="1"/>
  <c r="AS281" i="6"/>
  <c r="AT275" i="6" s="1"/>
  <c r="AS262" i="6"/>
  <c r="AS263" i="6" s="1"/>
  <c r="AS267" i="6" s="1"/>
  <c r="AS298" i="6"/>
  <c r="AT290" i="6" s="1"/>
  <c r="AT291" i="6" s="1"/>
  <c r="X95" i="6"/>
  <c r="X96" i="6" s="1"/>
  <c r="X72" i="6"/>
  <c r="X74" i="6" s="1"/>
  <c r="BL170" i="6" l="1"/>
  <c r="BM163" i="6" s="1"/>
  <c r="BM164" i="6" s="1"/>
  <c r="BM167" i="6" s="1"/>
  <c r="BM169" i="6" s="1"/>
  <c r="AS269" i="6"/>
  <c r="AE11" i="7" s="1"/>
  <c r="AE10" i="7"/>
  <c r="AT276" i="6"/>
  <c r="AT277" i="6"/>
  <c r="X81" i="6"/>
  <c r="X108" i="6" s="1"/>
  <c r="X110" i="6" s="1"/>
  <c r="X75" i="6"/>
  <c r="X77" i="6" s="1"/>
  <c r="X80" i="6" s="1"/>
  <c r="X111" i="6"/>
  <c r="BM170" i="6" l="1"/>
  <c r="BN163" i="6" s="1"/>
  <c r="BM142" i="6"/>
  <c r="BM143" i="6" s="1"/>
  <c r="BM146" i="6" s="1"/>
  <c r="BM148" i="6" s="1"/>
  <c r="AT252" i="6"/>
  <c r="AT254" i="6" s="1"/>
  <c r="AT255" i="6" s="1"/>
  <c r="AT257" i="6" s="1"/>
  <c r="AT278" i="6"/>
  <c r="AT279" i="6" s="1"/>
  <c r="AT295" i="6" s="1"/>
  <c r="X83" i="6"/>
  <c r="X86" i="6" s="1"/>
  <c r="X113" i="6"/>
  <c r="X82" i="6" s="1"/>
  <c r="X112" i="6"/>
  <c r="X97" i="6" s="1"/>
  <c r="X98" i="6" s="1"/>
  <c r="Y92" i="6" s="1"/>
  <c r="BN164" i="6" l="1"/>
  <c r="BN167" i="6" s="1"/>
  <c r="X88" i="6"/>
  <c r="J8" i="7" s="1"/>
  <c r="J7" i="7"/>
  <c r="AT260" i="6"/>
  <c r="AT261" i="6"/>
  <c r="AT292" i="6" s="1"/>
  <c r="AT294" i="6" s="1"/>
  <c r="Y94" i="6"/>
  <c r="Y93" i="6"/>
  <c r="X114" i="6"/>
  <c r="Y106" i="6" s="1"/>
  <c r="Y107" i="6" s="1"/>
  <c r="BN169" i="6" l="1"/>
  <c r="BN142" i="6" s="1"/>
  <c r="BN143" i="6" s="1"/>
  <c r="BN146" i="6" s="1"/>
  <c r="BN148" i="6" s="1"/>
  <c r="AT296" i="6"/>
  <c r="AT280" i="6" s="1"/>
  <c r="AT297" i="6"/>
  <c r="Y95" i="6"/>
  <c r="Y96" i="6" s="1"/>
  <c r="Y72" i="6"/>
  <c r="Y74" i="6" s="1"/>
  <c r="BN170" i="6" l="1"/>
  <c r="BO163" i="6" s="1"/>
  <c r="BO164" i="6" s="1"/>
  <c r="BO167" i="6" s="1"/>
  <c r="BO169" i="6" s="1"/>
  <c r="AT262" i="6"/>
  <c r="AT263" i="6" s="1"/>
  <c r="AT267" i="6" s="1"/>
  <c r="AT281" i="6"/>
  <c r="AU275" i="6" s="1"/>
  <c r="AT298" i="6"/>
  <c r="AU290" i="6" s="1"/>
  <c r="AU291" i="6" s="1"/>
  <c r="Y81" i="6"/>
  <c r="Y108" i="6" s="1"/>
  <c r="Y110" i="6" s="1"/>
  <c r="Y75" i="6"/>
  <c r="Y77" i="6" s="1"/>
  <c r="Y80" i="6" s="1"/>
  <c r="Y111" i="6"/>
  <c r="BO170" i="6" l="1"/>
  <c r="BO142" i="6"/>
  <c r="BO143" i="6" s="1"/>
  <c r="BO146" i="6" s="1"/>
  <c r="AT269" i="6"/>
  <c r="AF11" i="7" s="1"/>
  <c r="AF10" i="7"/>
  <c r="AU277" i="6"/>
  <c r="AU276" i="6"/>
  <c r="Y83" i="6"/>
  <c r="Y86" i="6" s="1"/>
  <c r="Y113" i="6"/>
  <c r="Y82" i="6" s="1"/>
  <c r="Y112" i="6"/>
  <c r="Y97" i="6" s="1"/>
  <c r="Y98" i="6" s="1"/>
  <c r="Z92" i="6" s="1"/>
  <c r="BO148" i="6" l="1"/>
  <c r="H38" i="6" s="1"/>
  <c r="H36" i="6"/>
  <c r="Y88" i="6"/>
  <c r="K8" i="7" s="1"/>
  <c r="K7" i="7"/>
  <c r="AU252" i="6"/>
  <c r="AU254" i="6" s="1"/>
  <c r="AU255" i="6" s="1"/>
  <c r="AU257" i="6" s="1"/>
  <c r="AU278" i="6"/>
  <c r="AU279" i="6" s="1"/>
  <c r="AU295" i="6" s="1"/>
  <c r="Z94" i="6"/>
  <c r="Z93" i="6"/>
  <c r="Y114" i="6"/>
  <c r="Z106" i="6" s="1"/>
  <c r="Z107" i="6" s="1"/>
  <c r="AU260" i="6" l="1"/>
  <c r="AU261" i="6"/>
  <c r="AU292" i="6" s="1"/>
  <c r="AU294" i="6" s="1"/>
  <c r="Z95" i="6"/>
  <c r="Z96" i="6" s="1"/>
  <c r="Z72" i="6"/>
  <c r="Z74" i="6" s="1"/>
  <c r="AU297" i="6" l="1"/>
  <c r="AU296" i="6"/>
  <c r="Z81" i="6"/>
  <c r="Z108" i="6" s="1"/>
  <c r="Z110" i="6" s="1"/>
  <c r="Z75" i="6"/>
  <c r="Z77" i="6" s="1"/>
  <c r="Z80" i="6" s="1"/>
  <c r="Z111" i="6"/>
  <c r="AU298" i="6" l="1"/>
  <c r="AU280" i="6"/>
  <c r="AU281" i="6" s="1"/>
  <c r="AU262" i="6"/>
  <c r="AU263" i="6" s="1"/>
  <c r="AU267" i="6" s="1"/>
  <c r="Z83" i="6"/>
  <c r="Z86" i="6" s="1"/>
  <c r="Z112" i="6"/>
  <c r="Z97" i="6" s="1"/>
  <c r="Z98" i="6" s="1"/>
  <c r="AA92" i="6" s="1"/>
  <c r="Z113" i="6"/>
  <c r="Z82" i="6" s="1"/>
  <c r="Z88" i="6" l="1"/>
  <c r="L8" i="7" s="1"/>
  <c r="L7" i="7"/>
  <c r="AU269" i="6"/>
  <c r="AG11" i="7" s="1"/>
  <c r="AG10" i="7"/>
  <c r="Z114" i="6"/>
  <c r="AA106" i="6" s="1"/>
  <c r="AA107" i="6" s="1"/>
  <c r="AA94" i="6"/>
  <c r="AA93" i="6"/>
  <c r="AA95" i="6" l="1"/>
  <c r="AA96" i="6" s="1"/>
  <c r="AA72" i="6"/>
  <c r="AA74" i="6" s="1"/>
  <c r="AA81" i="6" l="1"/>
  <c r="AA108" i="6" s="1"/>
  <c r="AA110" i="6" s="1"/>
  <c r="AA75" i="6"/>
  <c r="AA77" i="6" s="1"/>
  <c r="AA80" i="6" s="1"/>
  <c r="AA111" i="6"/>
  <c r="AA83" i="6" l="1"/>
  <c r="AA86" i="6" s="1"/>
  <c r="AA112" i="6"/>
  <c r="AA97" i="6" s="1"/>
  <c r="AA98" i="6" s="1"/>
  <c r="AB92" i="6" s="1"/>
  <c r="AA113" i="6"/>
  <c r="AA82" i="6" s="1"/>
  <c r="AA88" i="6" l="1"/>
  <c r="M8" i="7" s="1"/>
  <c r="M7" i="7"/>
  <c r="AA114" i="6"/>
  <c r="AB106" i="6" s="1"/>
  <c r="AB107" i="6" s="1"/>
  <c r="AB93" i="6"/>
  <c r="AB94" i="6"/>
  <c r="AB95" i="6" l="1"/>
  <c r="AB96" i="6" s="1"/>
  <c r="AB72" i="6"/>
  <c r="AB74" i="6" s="1"/>
  <c r="AB81" i="6" l="1"/>
  <c r="AB108" i="6" s="1"/>
  <c r="AB110" i="6" s="1"/>
  <c r="AB75" i="6"/>
  <c r="AB77" i="6" s="1"/>
  <c r="AB80" i="6" s="1"/>
  <c r="AB111" i="6"/>
  <c r="AB83" i="6" l="1"/>
  <c r="AB86" i="6" s="1"/>
  <c r="AB113" i="6"/>
  <c r="AB82" i="6" s="1"/>
  <c r="AB112" i="6"/>
  <c r="AB97" i="6" s="1"/>
  <c r="AB98" i="6" s="1"/>
  <c r="AC92" i="6" s="1"/>
  <c r="AB88" i="6" l="1"/>
  <c r="N8" i="7" s="1"/>
  <c r="N7" i="7"/>
  <c r="AC94" i="6"/>
  <c r="AC93" i="6"/>
  <c r="AB114" i="6"/>
  <c r="AC106" i="6" s="1"/>
  <c r="AC107" i="6" s="1"/>
  <c r="AC95" i="6" l="1"/>
  <c r="AC96" i="6" s="1"/>
  <c r="AC72" i="6"/>
  <c r="AC74" i="6" s="1"/>
  <c r="AC81" i="6" l="1"/>
  <c r="AC108" i="6" s="1"/>
  <c r="AC110" i="6" s="1"/>
  <c r="AC75" i="6"/>
  <c r="AC77" i="6" s="1"/>
  <c r="AC80" i="6" s="1"/>
  <c r="AC111" i="6"/>
  <c r="AC83" i="6" l="1"/>
  <c r="AC86" i="6" s="1"/>
  <c r="AC112" i="6"/>
  <c r="AC97" i="6" s="1"/>
  <c r="AC98" i="6" s="1"/>
  <c r="AD92" i="6" s="1"/>
  <c r="AC113" i="6"/>
  <c r="AC82" i="6" s="1"/>
  <c r="AC88" i="6" l="1"/>
  <c r="O8" i="7" s="1"/>
  <c r="O7" i="7"/>
  <c r="F30" i="6"/>
  <c r="AC114" i="6"/>
  <c r="AD106" i="6" s="1"/>
  <c r="AD107" i="6" s="1"/>
  <c r="AD94" i="6"/>
  <c r="AD93" i="6"/>
  <c r="F32" i="6" l="1"/>
  <c r="AD95" i="6"/>
  <c r="AD96" i="6" s="1"/>
  <c r="AD72" i="6"/>
  <c r="AD74" i="6" s="1"/>
  <c r="AD75" i="6" l="1"/>
  <c r="AD77" i="6" s="1"/>
  <c r="AD80" i="6" s="1"/>
  <c r="AD81" i="6"/>
  <c r="AD108" i="6" s="1"/>
  <c r="AD110" i="6" s="1"/>
  <c r="AD111" i="6"/>
  <c r="AD83" i="6" l="1"/>
  <c r="AD86" i="6" s="1"/>
  <c r="AD112" i="6"/>
  <c r="AD97" i="6" s="1"/>
  <c r="AD98" i="6" s="1"/>
  <c r="AE92" i="6" s="1"/>
  <c r="AD113" i="6"/>
  <c r="AD82" i="6" s="1"/>
  <c r="AD88" i="6" l="1"/>
  <c r="P8" i="7" s="1"/>
  <c r="P7" i="7"/>
  <c r="AD114" i="6"/>
  <c r="AE106" i="6" s="1"/>
  <c r="AE107" i="6" s="1"/>
  <c r="AE94" i="6"/>
  <c r="AE93" i="6"/>
  <c r="AE72" i="6" l="1"/>
  <c r="AE74" i="6" s="1"/>
  <c r="AE95" i="6"/>
  <c r="AE96" i="6" s="1"/>
  <c r="AE111" i="6" l="1"/>
  <c r="AE81" i="6"/>
  <c r="AE108" i="6" s="1"/>
  <c r="AE110" i="6" s="1"/>
  <c r="AE75" i="6"/>
  <c r="AE77" i="6" s="1"/>
  <c r="AE80" i="6" s="1"/>
  <c r="AE83" i="6" l="1"/>
  <c r="AE86" i="6" s="1"/>
  <c r="AE112" i="6"/>
  <c r="AE97" i="6" s="1"/>
  <c r="AE98" i="6" s="1"/>
  <c r="AF92" i="6" s="1"/>
  <c r="AE113" i="6"/>
  <c r="AE82" i="6" s="1"/>
  <c r="AE88" i="6" l="1"/>
  <c r="Q8" i="7" s="1"/>
  <c r="Q7" i="7"/>
  <c r="AF93" i="6"/>
  <c r="AF94" i="6"/>
  <c r="AE114" i="6"/>
  <c r="AF106" i="6" s="1"/>
  <c r="AF107" i="6" s="1"/>
  <c r="AF95" i="6" l="1"/>
  <c r="AF96" i="6" s="1"/>
  <c r="AF72" i="6"/>
  <c r="AF74" i="6" s="1"/>
  <c r="AF81" i="6" l="1"/>
  <c r="AF108" i="6" s="1"/>
  <c r="AF110" i="6" s="1"/>
  <c r="AF75" i="6"/>
  <c r="AF77" i="6" s="1"/>
  <c r="AF80" i="6" s="1"/>
  <c r="AF111" i="6"/>
  <c r="AF83" i="6" l="1"/>
  <c r="AF86" i="6" s="1"/>
  <c r="AF112" i="6"/>
  <c r="AF97" i="6" s="1"/>
  <c r="AF98" i="6" s="1"/>
  <c r="AG92" i="6" s="1"/>
  <c r="AF113" i="6"/>
  <c r="AF82" i="6" s="1"/>
  <c r="AF88" i="6" l="1"/>
  <c r="R8" i="7" s="1"/>
  <c r="R7" i="7"/>
  <c r="AF114" i="6"/>
  <c r="AG106" i="6" s="1"/>
  <c r="AG107" i="6" s="1"/>
  <c r="AG94" i="6"/>
  <c r="AG93" i="6"/>
  <c r="AG95" i="6" l="1"/>
  <c r="AG96" i="6" s="1"/>
  <c r="AG72" i="6"/>
  <c r="AG74" i="6" s="1"/>
  <c r="AG81" i="6" l="1"/>
  <c r="AG108" i="6" s="1"/>
  <c r="AG110" i="6" s="1"/>
  <c r="AG75" i="6"/>
  <c r="AG77" i="6" s="1"/>
  <c r="AG80" i="6" s="1"/>
  <c r="AG111" i="6"/>
  <c r="AG83" i="6" l="1"/>
  <c r="AG86" i="6" s="1"/>
  <c r="AG112" i="6"/>
  <c r="AG97" i="6" s="1"/>
  <c r="AG98" i="6" s="1"/>
  <c r="AH92" i="6" s="1"/>
  <c r="AG113" i="6"/>
  <c r="AG82" i="6" s="1"/>
  <c r="AG88" i="6" l="1"/>
  <c r="S8" i="7" s="1"/>
  <c r="S7" i="7"/>
  <c r="AH94" i="6"/>
  <c r="AH93" i="6"/>
  <c r="AG114" i="6"/>
  <c r="AH106" i="6" s="1"/>
  <c r="AH107" i="6" s="1"/>
  <c r="AH72" i="6" l="1"/>
  <c r="AH74" i="6" s="1"/>
  <c r="AH95" i="6"/>
  <c r="AH96" i="6" s="1"/>
  <c r="AH111" i="6" l="1"/>
  <c r="AH75" i="6"/>
  <c r="AH77" i="6" s="1"/>
  <c r="AH80" i="6" s="1"/>
  <c r="AH81" i="6"/>
  <c r="AH108" i="6" s="1"/>
  <c r="AH110" i="6" s="1"/>
  <c r="AH83" i="6" l="1"/>
  <c r="AH86" i="6" s="1"/>
  <c r="AH112" i="6"/>
  <c r="AH97" i="6" s="1"/>
  <c r="AH98" i="6" s="1"/>
  <c r="AI92" i="6" s="1"/>
  <c r="AH113" i="6"/>
  <c r="AH82" i="6" s="1"/>
  <c r="AH88" i="6" l="1"/>
  <c r="T8" i="7" s="1"/>
  <c r="T7" i="7"/>
  <c r="AH114" i="6"/>
  <c r="AI106" i="6" s="1"/>
  <c r="AI107" i="6" s="1"/>
  <c r="AI94" i="6"/>
  <c r="AI93" i="6"/>
  <c r="AI95" i="6" l="1"/>
  <c r="AI96" i="6" s="1"/>
  <c r="AI72" i="6"/>
  <c r="AI74" i="6" s="1"/>
  <c r="AI81" i="6" l="1"/>
  <c r="AI108" i="6" s="1"/>
  <c r="AI110" i="6" s="1"/>
  <c r="AI75" i="6"/>
  <c r="AI77" i="6" s="1"/>
  <c r="AI80" i="6" s="1"/>
  <c r="AI111" i="6"/>
  <c r="AI83" i="6" l="1"/>
  <c r="AI86" i="6" s="1"/>
  <c r="AI112" i="6"/>
  <c r="AI97" i="6" s="1"/>
  <c r="AI98" i="6" s="1"/>
  <c r="AJ92" i="6" s="1"/>
  <c r="AI113" i="6"/>
  <c r="AI82" i="6" s="1"/>
  <c r="AI88" i="6" l="1"/>
  <c r="U8" i="7" s="1"/>
  <c r="U7" i="7"/>
  <c r="AJ94" i="6"/>
  <c r="AJ93" i="6"/>
  <c r="AI114" i="6"/>
  <c r="AJ106" i="6" s="1"/>
  <c r="AJ107" i="6" s="1"/>
  <c r="AJ72" i="6" l="1"/>
  <c r="AJ74" i="6" s="1"/>
  <c r="AJ95" i="6"/>
  <c r="AJ96" i="6" s="1"/>
  <c r="AJ111" i="6" l="1"/>
  <c r="AJ75" i="6"/>
  <c r="AJ77" i="6" s="1"/>
  <c r="AJ80" i="6" s="1"/>
  <c r="AJ81" i="6"/>
  <c r="AJ108" i="6" s="1"/>
  <c r="AJ110" i="6" s="1"/>
  <c r="AJ83" i="6" l="1"/>
  <c r="AJ86" i="6" s="1"/>
  <c r="AJ113" i="6"/>
  <c r="AJ82" i="6" s="1"/>
  <c r="AJ112" i="6"/>
  <c r="AJ97" i="6" s="1"/>
  <c r="AJ98" i="6" s="1"/>
  <c r="AK92" i="6" s="1"/>
  <c r="AJ88" i="6" l="1"/>
  <c r="V8" i="7" s="1"/>
  <c r="V7" i="7"/>
  <c r="AJ114" i="6"/>
  <c r="AK106" i="6" s="1"/>
  <c r="AK107" i="6" s="1"/>
  <c r="AK93" i="6"/>
  <c r="AK94" i="6"/>
  <c r="AK95" i="6" l="1"/>
  <c r="AK96" i="6" s="1"/>
  <c r="AK72" i="6"/>
  <c r="AK74" i="6" s="1"/>
  <c r="AK81" i="6" l="1"/>
  <c r="AK108" i="6" s="1"/>
  <c r="AK110" i="6" s="1"/>
  <c r="AK75" i="6"/>
  <c r="AK77" i="6" s="1"/>
  <c r="AK80" i="6" s="1"/>
  <c r="AK111" i="6"/>
  <c r="AK112" i="6" l="1"/>
  <c r="AK97" i="6" s="1"/>
  <c r="AK98" i="6" s="1"/>
  <c r="AL92" i="6" s="1"/>
  <c r="AK113" i="6"/>
  <c r="AK82" i="6" s="1"/>
  <c r="AK83" i="6"/>
  <c r="AK86" i="6" s="1"/>
  <c r="AK88" i="6" l="1"/>
  <c r="W8" i="7" s="1"/>
  <c r="W7" i="7"/>
  <c r="AK114" i="6"/>
  <c r="AL106" i="6" s="1"/>
  <c r="AL107" i="6" s="1"/>
  <c r="AL94" i="6"/>
  <c r="AL93" i="6"/>
  <c r="AL72" i="6" l="1"/>
  <c r="AL74" i="6" s="1"/>
  <c r="AL95" i="6"/>
  <c r="AL96" i="6" s="1"/>
  <c r="AL111" i="6" l="1"/>
  <c r="AL75" i="6"/>
  <c r="AL77" i="6" s="1"/>
  <c r="AL80" i="6" s="1"/>
  <c r="AL81" i="6"/>
  <c r="AL108" i="6" s="1"/>
  <c r="AL110" i="6" s="1"/>
  <c r="AL112" i="6" l="1"/>
  <c r="AL97" i="6" s="1"/>
  <c r="AL98" i="6" s="1"/>
  <c r="AM92" i="6" s="1"/>
  <c r="AL113" i="6"/>
  <c r="AL82" i="6" s="1"/>
  <c r="AL83" i="6"/>
  <c r="AL86" i="6" s="1"/>
  <c r="AL88" i="6" l="1"/>
  <c r="X8" i="7" s="1"/>
  <c r="X7" i="7"/>
  <c r="AL114" i="6"/>
  <c r="AM106" i="6" s="1"/>
  <c r="AM107" i="6" s="1"/>
  <c r="AM94" i="6"/>
  <c r="AM93" i="6"/>
  <c r="AM72" i="6" l="1"/>
  <c r="AM74" i="6" s="1"/>
  <c r="AM95" i="6"/>
  <c r="AM96" i="6" s="1"/>
  <c r="AM111" i="6" l="1"/>
  <c r="AM81" i="6"/>
  <c r="AM108" i="6" s="1"/>
  <c r="AM110" i="6" s="1"/>
  <c r="AM75" i="6"/>
  <c r="AM77" i="6" s="1"/>
  <c r="AM80" i="6" s="1"/>
  <c r="AM83" i="6" l="1"/>
  <c r="AM86" i="6" s="1"/>
  <c r="AM112" i="6"/>
  <c r="AM97" i="6" s="1"/>
  <c r="AM98" i="6" s="1"/>
  <c r="AN92" i="6" s="1"/>
  <c r="AM113" i="6"/>
  <c r="AM82" i="6" s="1"/>
  <c r="AM88" i="6" l="1"/>
  <c r="Y8" i="7" s="1"/>
  <c r="Y7" i="7"/>
  <c r="AM114" i="6"/>
  <c r="AN106" i="6" s="1"/>
  <c r="AN107" i="6" s="1"/>
  <c r="AN94" i="6"/>
  <c r="AN93" i="6"/>
  <c r="AN95" i="6" l="1"/>
  <c r="AN96" i="6" s="1"/>
  <c r="AN72" i="6"/>
  <c r="AN74" i="6" s="1"/>
  <c r="AN81" i="6" l="1"/>
  <c r="AN108" i="6" s="1"/>
  <c r="AN110" i="6" s="1"/>
  <c r="AN75" i="6"/>
  <c r="AN77" i="6" s="1"/>
  <c r="AN80" i="6" s="1"/>
  <c r="AN111" i="6"/>
  <c r="AN83" i="6" l="1"/>
  <c r="AN86" i="6" s="1"/>
  <c r="AN112" i="6"/>
  <c r="AN97" i="6" s="1"/>
  <c r="AN98" i="6" s="1"/>
  <c r="AO92" i="6" s="1"/>
  <c r="AN113" i="6"/>
  <c r="AN82" i="6" s="1"/>
  <c r="AN88" i="6" l="1"/>
  <c r="Z8" i="7" s="1"/>
  <c r="Z7" i="7"/>
  <c r="AO93" i="6"/>
  <c r="AO94" i="6"/>
  <c r="AN114" i="6"/>
  <c r="AO106" i="6" s="1"/>
  <c r="AO107" i="6" s="1"/>
  <c r="AO72" i="6" l="1"/>
  <c r="AO74" i="6" s="1"/>
  <c r="AO95" i="6"/>
  <c r="AO96" i="6" s="1"/>
  <c r="AO111" i="6" l="1"/>
  <c r="AO81" i="6"/>
  <c r="AO108" i="6" s="1"/>
  <c r="AO110" i="6" s="1"/>
  <c r="AO75" i="6"/>
  <c r="AO77" i="6" s="1"/>
  <c r="AO80" i="6" s="1"/>
  <c r="AO83" i="6" l="1"/>
  <c r="AO86" i="6" s="1"/>
  <c r="AO112" i="6"/>
  <c r="AO97" i="6" s="1"/>
  <c r="AO98" i="6" s="1"/>
  <c r="AP92" i="6" s="1"/>
  <c r="AO113" i="6"/>
  <c r="AO82" i="6" s="1"/>
  <c r="AO88" i="6" l="1"/>
  <c r="AA8" i="7" s="1"/>
  <c r="AA7" i="7"/>
  <c r="AO114" i="6"/>
  <c r="AP106" i="6" s="1"/>
  <c r="AP107" i="6" s="1"/>
  <c r="AP94" i="6"/>
  <c r="AP93" i="6"/>
  <c r="AP95" i="6" l="1"/>
  <c r="AP96" i="6" s="1"/>
  <c r="AP72" i="6"/>
  <c r="AP74" i="6" s="1"/>
  <c r="AP75" i="6" l="1"/>
  <c r="AP77" i="6" s="1"/>
  <c r="AP80" i="6" s="1"/>
  <c r="AP81" i="6"/>
  <c r="AP108" i="6" s="1"/>
  <c r="AP110" i="6" s="1"/>
  <c r="AP111" i="6"/>
  <c r="AP83" i="6" l="1"/>
  <c r="AP86" i="6" s="1"/>
  <c r="AP112" i="6"/>
  <c r="AP97" i="6" s="1"/>
  <c r="AP98" i="6" s="1"/>
  <c r="AQ92" i="6" s="1"/>
  <c r="AP113" i="6"/>
  <c r="AP82" i="6" s="1"/>
  <c r="AP88" i="6" l="1"/>
  <c r="AB8" i="7" s="1"/>
  <c r="AB7" i="7"/>
  <c r="AP114" i="6"/>
  <c r="AQ106" i="6" s="1"/>
  <c r="AQ107" i="6" s="1"/>
  <c r="AQ94" i="6"/>
  <c r="AQ93" i="6"/>
  <c r="AQ95" i="6" l="1"/>
  <c r="AQ96" i="6" s="1"/>
  <c r="AQ72" i="6"/>
  <c r="AQ74" i="6" s="1"/>
  <c r="AQ81" i="6" l="1"/>
  <c r="AQ108" i="6" s="1"/>
  <c r="AQ110" i="6" s="1"/>
  <c r="AQ75" i="6"/>
  <c r="AQ77" i="6" s="1"/>
  <c r="AQ80" i="6" s="1"/>
  <c r="AQ111" i="6"/>
  <c r="AQ83" i="6" l="1"/>
  <c r="AQ86" i="6" s="1"/>
  <c r="AQ112" i="6"/>
  <c r="AQ97" i="6" s="1"/>
  <c r="AQ98" i="6" s="1"/>
  <c r="AR92" i="6" s="1"/>
  <c r="AQ113" i="6"/>
  <c r="AQ82" i="6" s="1"/>
  <c r="AQ88" i="6" l="1"/>
  <c r="AC8" i="7" s="1"/>
  <c r="AC7" i="7"/>
  <c r="AR93" i="6"/>
  <c r="AR94" i="6"/>
  <c r="AQ114" i="6"/>
  <c r="AR106" i="6" s="1"/>
  <c r="AR107" i="6" s="1"/>
  <c r="AR95" i="6" l="1"/>
  <c r="AR96" i="6" s="1"/>
  <c r="AR72" i="6"/>
  <c r="AR74" i="6" s="1"/>
  <c r="AR111" i="6" l="1"/>
  <c r="AR75" i="6"/>
  <c r="AR77" i="6" s="1"/>
  <c r="AR80" i="6" s="1"/>
  <c r="AR81" i="6"/>
  <c r="AR108" i="6" s="1"/>
  <c r="AR110" i="6" s="1"/>
  <c r="AR83" i="6" l="1"/>
  <c r="AR86" i="6" s="1"/>
  <c r="AR113" i="6"/>
  <c r="AR82" i="6" s="1"/>
  <c r="AR112" i="6"/>
  <c r="AR97" i="6" s="1"/>
  <c r="AR98" i="6" s="1"/>
  <c r="AS92" i="6" s="1"/>
  <c r="AR88" i="6" l="1"/>
  <c r="AD8" i="7" s="1"/>
  <c r="AD7" i="7"/>
  <c r="G30" i="6"/>
  <c r="AS94" i="6"/>
  <c r="AS93" i="6"/>
  <c r="AR114" i="6"/>
  <c r="AS106" i="6" s="1"/>
  <c r="AS107" i="6" s="1"/>
  <c r="G32" i="6" l="1"/>
  <c r="AS72" i="6"/>
  <c r="AS74" i="6" s="1"/>
  <c r="AS95" i="6"/>
  <c r="AS96" i="6" s="1"/>
  <c r="AS111" i="6" l="1"/>
  <c r="AS75" i="6"/>
  <c r="AS77" i="6" s="1"/>
  <c r="AS80" i="6" s="1"/>
  <c r="AS81" i="6"/>
  <c r="AS108" i="6" s="1"/>
  <c r="AS110" i="6" s="1"/>
  <c r="AS83" i="6" l="1"/>
  <c r="AS86" i="6" s="1"/>
  <c r="AS113" i="6"/>
  <c r="AS82" i="6" s="1"/>
  <c r="AS112" i="6"/>
  <c r="AS97" i="6" s="1"/>
  <c r="AS98" i="6" s="1"/>
  <c r="AT92" i="6" s="1"/>
  <c r="AS88" i="6" l="1"/>
  <c r="AE8" i="7" s="1"/>
  <c r="AE7" i="7"/>
  <c r="AT94" i="6"/>
  <c r="AT93" i="6"/>
  <c r="AS114" i="6"/>
  <c r="AT106" i="6" s="1"/>
  <c r="AT107" i="6" s="1"/>
  <c r="AT95" i="6" l="1"/>
  <c r="AT96" i="6" s="1"/>
  <c r="AT72" i="6"/>
  <c r="AT74" i="6" s="1"/>
  <c r="AT81" i="6" l="1"/>
  <c r="AT108" i="6" s="1"/>
  <c r="AT110" i="6" s="1"/>
  <c r="AT75" i="6"/>
  <c r="AT77" i="6" s="1"/>
  <c r="AT80" i="6" s="1"/>
  <c r="AT111" i="6"/>
  <c r="AT83" i="6" l="1"/>
  <c r="AT86" i="6" s="1"/>
  <c r="AT113" i="6"/>
  <c r="AT82" i="6" s="1"/>
  <c r="AT112" i="6"/>
  <c r="AT97" i="6" s="1"/>
  <c r="AT98" i="6" s="1"/>
  <c r="AU92" i="6" s="1"/>
  <c r="AT88" i="6" l="1"/>
  <c r="AF8" i="7" s="1"/>
  <c r="AF7" i="7"/>
  <c r="AU94" i="6"/>
  <c r="AU93" i="6"/>
  <c r="AT114" i="6"/>
  <c r="AU106" i="6" s="1"/>
  <c r="AU107" i="6" s="1"/>
  <c r="AU95" i="6" l="1"/>
  <c r="AU96" i="6" s="1"/>
  <c r="AU72" i="6"/>
  <c r="AU74" i="6" s="1"/>
  <c r="AU81" i="6" l="1"/>
  <c r="AU108" i="6" s="1"/>
  <c r="AU110" i="6" s="1"/>
  <c r="AU75" i="6"/>
  <c r="AU77" i="6" s="1"/>
  <c r="AU80" i="6" s="1"/>
  <c r="AU111" i="6"/>
  <c r="AU83" i="6" l="1"/>
  <c r="AU86" i="6" s="1"/>
  <c r="AU112" i="6"/>
  <c r="AU97" i="6" s="1"/>
  <c r="AU98" i="6" s="1"/>
  <c r="AU113" i="6"/>
  <c r="AU82" i="6" s="1"/>
  <c r="AU88" i="6" l="1"/>
  <c r="AG8" i="7" s="1"/>
  <c r="AG7" i="7"/>
  <c r="AU114" i="6"/>
  <c r="AV106" i="6" s="1"/>
  <c r="AV107" i="6" l="1"/>
  <c r="AV110" i="6" s="1"/>
  <c r="AV112" i="6" l="1"/>
  <c r="AV113" i="6"/>
  <c r="AV82" i="6" s="1"/>
  <c r="AV114" i="6" l="1"/>
  <c r="AW106" i="6" s="1"/>
  <c r="AW107" i="6" s="1"/>
  <c r="AW110" i="6" s="1"/>
  <c r="AW113" i="6" l="1"/>
  <c r="AW82" i="6" s="1"/>
  <c r="AW112" i="6"/>
  <c r="AW114" i="6" l="1"/>
  <c r="AX106" i="6" s="1"/>
  <c r="AX107" i="6" s="1"/>
  <c r="AX110" i="6" s="1"/>
  <c r="AX112" i="6" s="1"/>
  <c r="AX113" i="6" l="1"/>
  <c r="AX82" i="6" s="1"/>
  <c r="AX114" i="6" l="1"/>
  <c r="AY106" i="6" s="1"/>
  <c r="AY107" i="6" s="1"/>
  <c r="AY110" i="6" s="1"/>
  <c r="AY112" i="6" l="1"/>
  <c r="AY113" i="6"/>
  <c r="AY82" i="6" s="1"/>
  <c r="AY114" i="6" l="1"/>
  <c r="AZ106" i="6" s="1"/>
  <c r="AZ107" i="6" s="1"/>
  <c r="AZ110" i="6" s="1"/>
  <c r="AZ112" i="6" s="1"/>
  <c r="AZ113" i="6" l="1"/>
  <c r="AZ82" i="6" s="1"/>
  <c r="AZ114" i="6" l="1"/>
  <c r="BA106" i="6" s="1"/>
  <c r="BA107" i="6" s="1"/>
  <c r="BA110" i="6" s="1"/>
  <c r="BA113" i="6" s="1"/>
  <c r="BA82" i="6" s="1"/>
  <c r="BA112" i="6" l="1"/>
  <c r="BA114" i="6" s="1"/>
  <c r="BB106" i="6" s="1"/>
  <c r="BB107" i="6" s="1"/>
  <c r="BB110" i="6" s="1"/>
  <c r="BB112" i="6" s="1"/>
  <c r="BB113" i="6" l="1"/>
  <c r="BB82" i="6" s="1"/>
  <c r="BB114" i="6" l="1"/>
  <c r="BC106" i="6" s="1"/>
  <c r="BC107" i="6" s="1"/>
  <c r="BC110" i="6" s="1"/>
  <c r="BC113" i="6" l="1"/>
  <c r="BC82" i="6" s="1"/>
  <c r="BC112" i="6"/>
  <c r="BC114" i="6" l="1"/>
  <c r="BD106" i="6" s="1"/>
  <c r="BD107" i="6" s="1"/>
  <c r="BD110" i="6" s="1"/>
  <c r="BD112" i="6" s="1"/>
  <c r="BD113" i="6" l="1"/>
  <c r="BD82" i="6" s="1"/>
  <c r="BD114" i="6" l="1"/>
  <c r="BE106" i="6" s="1"/>
  <c r="BE107" i="6" s="1"/>
  <c r="BE110" i="6" s="1"/>
  <c r="BE113" i="6" s="1"/>
  <c r="BE82" i="6" s="1"/>
  <c r="BE112" i="6" l="1"/>
  <c r="BE114" i="6" s="1"/>
  <c r="BF106" i="6" s="1"/>
  <c r="BF107" i="6" s="1"/>
  <c r="BF110" i="6" s="1"/>
  <c r="BF112" i="6" l="1"/>
  <c r="BF113" i="6"/>
  <c r="BF82" i="6" s="1"/>
  <c r="BF114" i="6" l="1"/>
  <c r="BG106" i="6" s="1"/>
  <c r="BG107" i="6" s="1"/>
  <c r="BG110" i="6" s="1"/>
  <c r="BG113" i="6" l="1"/>
  <c r="BG82" i="6" s="1"/>
  <c r="BG112" i="6"/>
  <c r="BG114" i="6" l="1"/>
  <c r="BH106" i="6" s="1"/>
  <c r="BH107" i="6" s="1"/>
  <c r="BH110" i="6" s="1"/>
  <c r="BH112" i="6" s="1"/>
  <c r="BH113" i="6" l="1"/>
  <c r="BH82" i="6" s="1"/>
  <c r="BH114" i="6" l="1"/>
  <c r="BI106" i="6" s="1"/>
  <c r="BI107" i="6" s="1"/>
  <c r="BI110" i="6" s="1"/>
  <c r="BI113" i="6" l="1"/>
  <c r="BI82" i="6" s="1"/>
  <c r="BI112" i="6"/>
  <c r="BI114" i="6" l="1"/>
  <c r="BJ106" i="6" s="1"/>
  <c r="BJ107" i="6" s="1"/>
  <c r="BJ110" i="6" s="1"/>
  <c r="BJ112" i="6" l="1"/>
  <c r="BJ113" i="6"/>
  <c r="BJ82" i="6" s="1"/>
  <c r="BJ114" i="6" l="1"/>
  <c r="BK106" i="6" s="1"/>
  <c r="BK107" i="6" s="1"/>
  <c r="BK110" i="6" s="1"/>
  <c r="BK113" i="6" s="1"/>
  <c r="BK82" i="6" s="1"/>
  <c r="BK112" i="6" l="1"/>
  <c r="BK114" i="6" s="1"/>
  <c r="BL106" i="6" s="1"/>
  <c r="BL107" i="6" s="1"/>
  <c r="BL110" i="6" s="1"/>
  <c r="BL113" i="6" l="1"/>
  <c r="BL82" i="6" s="1"/>
  <c r="BL112" i="6"/>
  <c r="BL114" i="6" l="1"/>
  <c r="BM106" i="6" s="1"/>
  <c r="BM107" i="6" s="1"/>
  <c r="BM110" i="6" s="1"/>
  <c r="BM113" i="6" s="1"/>
  <c r="BM82" i="6" s="1"/>
  <c r="BM112" i="6" l="1"/>
  <c r="BM114" i="6" s="1"/>
  <c r="BN106" i="6" s="1"/>
  <c r="BN107" i="6" s="1"/>
  <c r="BN110" i="6" s="1"/>
  <c r="BN113" i="6" l="1"/>
  <c r="BN82" i="6" s="1"/>
  <c r="BN112" i="6"/>
  <c r="BN114" i="6" l="1"/>
  <c r="BO106" i="6" s="1"/>
  <c r="BO107" i="6" s="1"/>
  <c r="BO110" i="6" s="1"/>
  <c r="BO112" i="6" s="1"/>
  <c r="BO113" i="6" l="1"/>
  <c r="BO82" i="6" s="1"/>
  <c r="BO114" i="6" l="1"/>
</calcChain>
</file>

<file path=xl/comments1.xml><?xml version="1.0" encoding="utf-8"?>
<comments xmlns="http://schemas.openxmlformats.org/spreadsheetml/2006/main">
  <authors>
    <author>Sgcolt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Susitna corrected estimate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90% interval high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90% interval low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suggested by AEA per AK OMB guidance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AK OMB FY14 guidance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Feb 2013 cost estimate plus $2 million for capital replacements allowance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Feb 2013 cost estimate plus $2 million for capital replacements allowance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Feb 2013 cost estimate plus $2 million for capital replacements allowance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AEA House Resources presentation April 2013 states 2013=year 1, 2024 = online year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capitalized interest must be capitaliized as nominal dollars.</t>
        </r>
      </text>
    </comment>
    <comment ref="R81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If DS coverage=1.00, amount=0</t>
        </r>
      </text>
    </comment>
    <comment ref="AU102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assume financed reserve fund is retired at end of yr 30 along with final principal payment</t>
        </r>
      </text>
    </comment>
    <comment ref="R158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FRF not used when additional margins collected for DS coverage</t>
        </r>
      </text>
    </comment>
    <comment ref="AU15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assume reserve fund is retired at end of yr 30 along with final principal payment</t>
        </r>
      </text>
    </comment>
    <comment ref="I17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placeholder for possible future use</t>
        </r>
      </text>
    </comment>
    <comment ref="G18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to reflect suggestion of Pat Burden, agrees with existing Foster "advanced" CC</t>
        </r>
      </text>
    </comment>
    <comment ref="H18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to reflect suggestion of Pat Burden, agrees with existing Foster "advanced" CC</t>
        </r>
      </text>
    </comment>
    <comment ref="I18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to reflect suggestion of Pat Burden, agrees with existing Foster "advanced" CC</t>
        </r>
      </text>
    </comment>
    <comment ref="G184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per comment of Pat Burden and example of Scentral powerplant</t>
        </r>
      </text>
    </comment>
    <comment ref="H184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per comment of Pat Burden and example of Scentral powerplant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changed per comment of Pat Burden and example of Scentral powerplant</t>
        </r>
      </text>
    </comment>
    <comment ref="G187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EIA AEO assumptions as provided by Reviewer 5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Scott 2012 using SAIC cost assumptions. Higher end of LNG import cost projections.</t>
        </r>
      </text>
    </comment>
    <comment ref="R261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currently coded as amt needed to meet DS coverage. If DS coverage=1.00, M=0</t>
        </r>
      </text>
    </comment>
    <comment ref="AU286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assume reserve fund is retired at end of yr 30 along with final principal payment</t>
        </r>
      </text>
    </comment>
    <comment ref="R337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reduce escalation by 3 yrs since data is for 2011$ and escalation basis is 2008$</t>
        </r>
      </text>
    </comment>
    <comment ref="AU349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assume reserve fund is retired at end of yr 30 along with final principal payment</t>
        </r>
      </text>
    </comment>
  </commentList>
</comments>
</file>

<file path=xl/comments2.xml><?xml version="1.0" encoding="utf-8"?>
<comments xmlns="http://schemas.openxmlformats.org/spreadsheetml/2006/main">
  <authors>
    <author>Sgcolt</author>
  </authors>
  <commentList>
    <comment ref="N13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goal seek was used to determine this value.</t>
        </r>
      </text>
    </comment>
  </commentList>
</comments>
</file>

<file path=xl/comments3.xml><?xml version="1.0" encoding="utf-8"?>
<comments xmlns="http://schemas.openxmlformats.org/spreadsheetml/2006/main">
  <authors>
    <author>Sgcolt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Bureau of Economic Analysis</t>
        </r>
      </text>
    </comment>
  </commentList>
</comments>
</file>

<file path=xl/comments4.xml><?xml version="1.0" encoding="utf-8"?>
<comments xmlns="http://schemas.openxmlformats.org/spreadsheetml/2006/main">
  <authors>
    <author>Steve Colt</author>
    <author xml:space="preserve"> S Colt</author>
    <author>Sgcolt</author>
  </authors>
  <commentList>
    <comment ref="G31" authorId="0" shapeId="0">
      <text>
        <r>
          <rPr>
            <b/>
            <sz val="8"/>
            <color indexed="81"/>
            <rFont val="Tahoma"/>
            <family val="2"/>
          </rPr>
          <t>Steve Colt:</t>
        </r>
        <r>
          <rPr>
            <sz val="8"/>
            <color indexed="81"/>
            <rFont val="Tahoma"/>
            <family val="2"/>
          </rPr>
          <t xml:space="preserve">
http://www.bls.gov/ro9/9220.pdf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</rPr>
          <t xml:space="preserve"> S Colt:</t>
        </r>
        <r>
          <rPr>
            <sz val="8"/>
            <color indexed="81"/>
            <rFont val="Tahoma"/>
            <family val="2"/>
          </rPr>
          <t xml:space="preserve">
http://laborstats.alaska.gov/?PAGEID=67&amp;SUBID=198</t>
        </r>
      </text>
    </comment>
    <comment ref="G34" authorId="2" shapeId="0">
      <text>
        <r>
          <rPr>
            <b/>
            <sz val="9"/>
            <color indexed="81"/>
            <rFont val="Tahoma"/>
            <family val="2"/>
          </rPr>
          <t>Sgcolt:</t>
        </r>
        <r>
          <rPr>
            <sz val="9"/>
            <color indexed="81"/>
            <rFont val="Tahoma"/>
            <family val="2"/>
          </rPr>
          <t xml:space="preserve">
http://www.bls.gov/ro9/9220.pdf</t>
        </r>
      </text>
    </comment>
  </commentList>
</comments>
</file>

<file path=xl/sharedStrings.xml><?xml version="1.0" encoding="utf-8"?>
<sst xmlns="http://schemas.openxmlformats.org/spreadsheetml/2006/main" count="1180" uniqueCount="632">
  <si>
    <t>MWh</t>
  </si>
  <si>
    <t>$/kWh</t>
  </si>
  <si>
    <t>APF annual returns</t>
  </si>
  <si>
    <t>over 27.5 yrs</t>
  </si>
  <si>
    <t>over 10 yrs</t>
  </si>
  <si>
    <t>estimated CPI on 1/1/84</t>
  </si>
  <si>
    <t>estimated CPI on 7/1/11</t>
  </si>
  <si>
    <t>average annualized inflation</t>
  </si>
  <si>
    <t>$million</t>
  </si>
  <si>
    <t>Depreciation</t>
  </si>
  <si>
    <t>Variable</t>
  </si>
  <si>
    <t>Operating Expenses</t>
  </si>
  <si>
    <t>Fuel</t>
  </si>
  <si>
    <t>*Subtotal Operating</t>
  </si>
  <si>
    <t>*Total Depreciation</t>
  </si>
  <si>
    <t>Interest</t>
  </si>
  <si>
    <t>*Total Interest</t>
  </si>
  <si>
    <t>Revenue Requirements</t>
  </si>
  <si>
    <t>Capital Stock = rate base = debt burden</t>
  </si>
  <si>
    <t>units</t>
  </si>
  <si>
    <t>nominal %</t>
  </si>
  <si>
    <t>%</t>
  </si>
  <si>
    <t>Year---&gt;</t>
  </si>
  <si>
    <t>Yearnum--&gt;</t>
  </si>
  <si>
    <t>Construction outlay pattern (sum=1)</t>
  </si>
  <si>
    <t>Construction outlay amount</t>
  </si>
  <si>
    <t>$ billion</t>
  </si>
  <si>
    <t>Interest to be capitalized into debt</t>
  </si>
  <si>
    <t>Debt principal BOY</t>
  </si>
  <si>
    <t>Debt principal EOY</t>
  </si>
  <si>
    <t>Additions to debt from outlays</t>
  </si>
  <si>
    <t>Annual O&amp;M</t>
  </si>
  <si>
    <t>Annual O&amp;M cost</t>
  </si>
  <si>
    <t>years</t>
  </si>
  <si>
    <t>Debt repayment period</t>
  </si>
  <si>
    <t>Depreciation and rate base accounting</t>
  </si>
  <si>
    <t>Utility basis cost of service and revenue requirements</t>
  </si>
  <si>
    <t>Debt service and debt principal accounting</t>
  </si>
  <si>
    <t>Debt service payment</t>
  </si>
  <si>
    <t>Total op revenue</t>
  </si>
  <si>
    <t>$ million</t>
  </si>
  <si>
    <t>per kWh sold</t>
  </si>
  <si>
    <t>Total MWh sales</t>
  </si>
  <si>
    <t>See below for debt info:</t>
  </si>
  <si>
    <t>retail</t>
  </si>
  <si>
    <t>wholesale</t>
  </si>
  <si>
    <t>economy</t>
  </si>
  <si>
    <t>Power production</t>
  </si>
  <si>
    <t>Trans. &amp; Dist.</t>
  </si>
  <si>
    <t>Admin, Genl, cust accts</t>
  </si>
  <si>
    <t>Plant split:</t>
  </si>
  <si>
    <t>Transmission &amp; Distn Plant</t>
  </si>
  <si>
    <t>General, unclassified, intangible, other</t>
  </si>
  <si>
    <t>Total electric plant in service</t>
  </si>
  <si>
    <t>CWIP</t>
  </si>
  <si>
    <t>less: accumulated depreciation</t>
  </si>
  <si>
    <t>Net plant</t>
  </si>
  <si>
    <t>Total electric plant</t>
  </si>
  <si>
    <t>Production expense</t>
  </si>
  <si>
    <t>Nonproduction expense</t>
  </si>
  <si>
    <t>Interest on production plant</t>
  </si>
  <si>
    <t>Interest on nonproduct'n plant</t>
  </si>
  <si>
    <t>items:</t>
  </si>
  <si>
    <t>depreciation</t>
  </si>
  <si>
    <t>interest</t>
  </si>
  <si>
    <t>depreciation on production plt</t>
  </si>
  <si>
    <t>depreciation on nonproductn</t>
  </si>
  <si>
    <t>Purchased power</t>
  </si>
  <si>
    <t>Total (calc)</t>
  </si>
  <si>
    <t>Total production (calc)</t>
  </si>
  <si>
    <t>Total nonproduction</t>
  </si>
  <si>
    <t xml:space="preserve">Trans, dist'n, admin cost </t>
  </si>
  <si>
    <t>additional RR for retail</t>
  </si>
  <si>
    <t>Recovery of direct production cost</t>
  </si>
  <si>
    <t>value</t>
  </si>
  <si>
    <t>Debt-financed fraction</t>
  </si>
  <si>
    <t>ACPI-U</t>
  </si>
  <si>
    <t>checksum=</t>
  </si>
  <si>
    <t>MW</t>
  </si>
  <si>
    <t>MWh delivered from powerhouse</t>
  </si>
  <si>
    <t>Debt-financed outlay</t>
  </si>
  <si>
    <t>State AK cash (grant) outlay</t>
  </si>
  <si>
    <t>MWH retail sales at customer meters</t>
  </si>
  <si>
    <t>Assumptions</t>
  </si>
  <si>
    <t>btu/kWh</t>
  </si>
  <si>
    <t>SUP000</t>
  </si>
  <si>
    <t/>
  </si>
  <si>
    <t xml:space="preserve"> Supply, Disposition, and Prices</t>
  </si>
  <si>
    <t>Prices (nominal dollars per unit)</t>
  </si>
  <si>
    <t>SUP000:nom_ForLowSulfLi</t>
  </si>
  <si>
    <t>SUP000:nom_ImportRACost</t>
  </si>
  <si>
    <t>SUP000:nom_Gas@HenryHub</t>
  </si>
  <si>
    <t>SUP000:nom_CoalMinemout</t>
  </si>
  <si>
    <t>SUP000:nom_CoalDeliverd</t>
  </si>
  <si>
    <t>SUP000:nom_Electricity</t>
  </si>
  <si>
    <t xml:space="preserve">   Btu = British thermal unit.</t>
  </si>
  <si>
    <t xml:space="preserve">   - - = Not applicable.</t>
  </si>
  <si>
    <t>are model results and may differ slightly from official EIA data reports.</t>
  </si>
  <si>
    <t>Heat rate</t>
  </si>
  <si>
    <t>Annual capacity utilization factor</t>
  </si>
  <si>
    <t>Annual energy output at busbar</t>
  </si>
  <si>
    <t>Ratio of kWh sold to kWh at busbar</t>
  </si>
  <si>
    <t>Results</t>
  </si>
  <si>
    <t>Overnight capital cost per kW</t>
  </si>
  <si>
    <t>Overnight capital cost for plant</t>
  </si>
  <si>
    <t>Selected fuel price</t>
  </si>
  <si>
    <t>Interest on outstanding debt</t>
  </si>
  <si>
    <t>county_numeric</t>
  </si>
  <si>
    <t>county_ANSI</t>
  </si>
  <si>
    <t>county_name</t>
  </si>
  <si>
    <t>aea_energy_region</t>
  </si>
  <si>
    <t>climate_zone</t>
  </si>
  <si>
    <t>EUS_region</t>
  </si>
  <si>
    <t>d_rural</t>
  </si>
  <si>
    <t>ch_total</t>
  </si>
  <si>
    <t>ch_occupied</t>
  </si>
  <si>
    <t>ch_vacant</t>
  </si>
  <si>
    <t>c_population</t>
  </si>
  <si>
    <t>02013</t>
  </si>
  <si>
    <t>Aleutians East Borough</t>
  </si>
  <si>
    <t>Aleutians</t>
  </si>
  <si>
    <t>rural</t>
  </si>
  <si>
    <t>02016</t>
  </si>
  <si>
    <t>Aleutians West Census Area</t>
  </si>
  <si>
    <t>02050</t>
  </si>
  <si>
    <t>Bethel Census Area</t>
  </si>
  <si>
    <t>Lower Yukon-Kuskokwim</t>
  </si>
  <si>
    <t>02060</t>
  </si>
  <si>
    <t>Bristol Bay Borough</t>
  </si>
  <si>
    <t>Bristol Bay</t>
  </si>
  <si>
    <t>02070</t>
  </si>
  <si>
    <t>Dillingham Census Area</t>
  </si>
  <si>
    <t>02164</t>
  </si>
  <si>
    <t>Lake and Peninsula Borough</t>
  </si>
  <si>
    <t>02180</t>
  </si>
  <si>
    <t>Nome Census Area</t>
  </si>
  <si>
    <t>Bering Straits</t>
  </si>
  <si>
    <t>02185</t>
  </si>
  <si>
    <t>North Slope Borough</t>
  </si>
  <si>
    <t>North Slope</t>
  </si>
  <si>
    <t>02188</t>
  </si>
  <si>
    <t>Northwest Arctic Borough</t>
  </si>
  <si>
    <t>Northwest Arctic</t>
  </si>
  <si>
    <t>02270</t>
  </si>
  <si>
    <t>Wade Hampton Census Area</t>
  </si>
  <si>
    <t>02290</t>
  </si>
  <si>
    <t>Yukon-Koyukuk Census Area</t>
  </si>
  <si>
    <t>Yukon-Koyukuk/Upper Tanana</t>
  </si>
  <si>
    <t>02020</t>
  </si>
  <si>
    <t>Anchorage Municipality</t>
  </si>
  <si>
    <t>Railbelt</t>
  </si>
  <si>
    <t>railbelt</t>
  </si>
  <si>
    <t>02068</t>
  </si>
  <si>
    <t>Denali Borough</t>
  </si>
  <si>
    <t>02090</t>
  </si>
  <si>
    <t>Fairbanks North Star Borough</t>
  </si>
  <si>
    <t>02100</t>
  </si>
  <si>
    <t>Haines Borough</t>
  </si>
  <si>
    <t>Southeast</t>
  </si>
  <si>
    <t>southeast</t>
  </si>
  <si>
    <t>02105</t>
  </si>
  <si>
    <t>Hoonah-Angoon Census Area</t>
  </si>
  <si>
    <t>02110</t>
  </si>
  <si>
    <t>Juneau City and Borough</t>
  </si>
  <si>
    <t>02122</t>
  </si>
  <si>
    <t>Kenai Peninsula Borough</t>
  </si>
  <si>
    <t>02130</t>
  </si>
  <si>
    <t>Ketchikan Gateway Borough</t>
  </si>
  <si>
    <t>02150</t>
  </si>
  <si>
    <t>Kodiak Island Borough</t>
  </si>
  <si>
    <t>Kodiak</t>
  </si>
  <si>
    <t>02170</t>
  </si>
  <si>
    <t>Matanuska-Susitna Borough</t>
  </si>
  <si>
    <t>02195</t>
  </si>
  <si>
    <t>Petersburg Census Area</t>
  </si>
  <si>
    <t>02198</t>
  </si>
  <si>
    <t>Prince of Wales-Hyder Census Area</t>
  </si>
  <si>
    <t>02220</t>
  </si>
  <si>
    <t>Sitka City and Borough</t>
  </si>
  <si>
    <t>02230</t>
  </si>
  <si>
    <t>Skagway Municipality</t>
  </si>
  <si>
    <t>02240</t>
  </si>
  <si>
    <t>Southeast Fairbanks Census Area</t>
  </si>
  <si>
    <t>02261</t>
  </si>
  <si>
    <t>Valdez-Cordova Census Area</t>
  </si>
  <si>
    <t>Copper River/Chugach</t>
  </si>
  <si>
    <t>02275</t>
  </si>
  <si>
    <t>Wrangell City and Borough</t>
  </si>
  <si>
    <t>02282</t>
  </si>
  <si>
    <t>Yakutat City and Borough</t>
  </si>
  <si>
    <t>census 100% count population April 2010</t>
  </si>
  <si>
    <t>DOLWD population July 1, 2012</t>
  </si>
  <si>
    <t>Census 2010 total housing units</t>
  </si>
  <si>
    <t>Census 2010 occupied housing units</t>
  </si>
  <si>
    <t>Census 2010 vacant housing units</t>
  </si>
  <si>
    <t>pop_2011</t>
  </si>
  <si>
    <t>Calculations</t>
  </si>
  <si>
    <t>Natural Gas Price Trajectories</t>
  </si>
  <si>
    <t>Production cost per retail kWh sold</t>
  </si>
  <si>
    <t>AKPF 2011 Annual Report</t>
  </si>
  <si>
    <t>Production plant</t>
  </si>
  <si>
    <t>CEA Annual Report</t>
  </si>
  <si>
    <t>http://www.chugachelectric.com/system/files/media-room/2011_annual_report_for_website.pdf</t>
  </si>
  <si>
    <t>check: sum=1?</t>
  </si>
  <si>
    <t>Natural Gas Turbine comparison analysis</t>
  </si>
  <si>
    <t>Total cost of service</t>
  </si>
  <si>
    <t>+</t>
  </si>
  <si>
    <t>=</t>
  </si>
  <si>
    <t>Authorized margins</t>
  </si>
  <si>
    <t>Authorized total revenue requirement</t>
  </si>
  <si>
    <t>used in simplified ratemaking model</t>
  </si>
  <si>
    <t>Power production cost of service</t>
  </si>
  <si>
    <t>Cost of service (COS) components</t>
  </si>
  <si>
    <t>Item</t>
  </si>
  <si>
    <t>2024 amount</t>
  </si>
  <si>
    <t>item</t>
  </si>
  <si>
    <t>line</t>
  </si>
  <si>
    <t>**Total Production Cost of Power</t>
  </si>
  <si>
    <t>Total Revenue Requirement for Production cost</t>
  </si>
  <si>
    <t>Production Rev Reqt per kWh sold to retail customer</t>
  </si>
  <si>
    <t>Total Rev Reqt = cost of power to retail customer</t>
  </si>
  <si>
    <t>2012$ billion</t>
  </si>
  <si>
    <t>Escalation Indexes (2012=1.00)</t>
  </si>
  <si>
    <t>2012$/kWh</t>
  </si>
  <si>
    <t>Long-term debt interest rate</t>
  </si>
  <si>
    <t>Short-term debt rate (during construction)</t>
  </si>
  <si>
    <t>Grant-financed fraction</t>
  </si>
  <si>
    <t>Susitna Watana Cost Analysis</t>
  </si>
  <si>
    <t>Principal</t>
  </si>
  <si>
    <t>Reserve fund = 1 year DS on plant</t>
  </si>
  <si>
    <t>Capital replacements</t>
  </si>
  <si>
    <t>Other</t>
  </si>
  <si>
    <t>Item: interest payment on financed RF</t>
  </si>
  <si>
    <t>Financed Reserve Fund</t>
  </si>
  <si>
    <t>FRF balance BOY</t>
  </si>
  <si>
    <t>Repayments of FRF principal</t>
  </si>
  <si>
    <t>FRF balance EOY</t>
  </si>
  <si>
    <t>Retained Earnings Fund</t>
  </si>
  <si>
    <t>REF balance BOY</t>
  </si>
  <si>
    <t>Additions to REF</t>
  </si>
  <si>
    <t>Cash flow debt service basis cost of service and revenue requirements</t>
  </si>
  <si>
    <t>Debt service payment on electric plant debt</t>
  </si>
  <si>
    <t>TIER for utility basis financing</t>
  </si>
  <si>
    <t>Electric plant BOY</t>
  </si>
  <si>
    <t>Electric plant EOY</t>
  </si>
  <si>
    <t>Trial Balance</t>
  </si>
  <si>
    <t>Target (may be increasing in nominal $)</t>
  </si>
  <si>
    <t>Retained margins fund</t>
  </si>
  <si>
    <t>RMF balance BOY</t>
  </si>
  <si>
    <t>Additions to RMF</t>
  </si>
  <si>
    <t>Withdrawals from RMF</t>
  </si>
  <si>
    <t>Application of excess toward COS</t>
  </si>
  <si>
    <t>RMF balance EOY</t>
  </si>
  <si>
    <t>OpYearnum</t>
  </si>
  <si>
    <t>Application of retained margins in excess of target</t>
  </si>
  <si>
    <t>Interest earned on RMF</t>
  </si>
  <si>
    <t>Interest earned on REF</t>
  </si>
  <si>
    <t>Library values</t>
  </si>
  <si>
    <t>case 1</t>
  </si>
  <si>
    <t>case 2</t>
  </si>
  <si>
    <t>case 3</t>
  </si>
  <si>
    <t>Ratio of retail kWh sold to kWh delivered to Railbelt grid</t>
  </si>
  <si>
    <t>Fuel Price Library</t>
  </si>
  <si>
    <t>Fuel price</t>
  </si>
  <si>
    <t xml:space="preserve">ISER Henry Hub Projection ($/MMBtu), real 2011$ </t>
  </si>
  <si>
    <t>http://www.akenergyauthority.org/RIRPFiles/Alaska_RIRP_Final_Report_120409/AlaskaRIRPFinalReport-Part2of6.pdf</t>
  </si>
  <si>
    <t>Extended by S. Colt:</t>
  </si>
  <si>
    <t>2012$/kW</t>
  </si>
  <si>
    <t>2012$/kW-yr</t>
  </si>
  <si>
    <t>2012$/MWh</t>
  </si>
  <si>
    <t>Additional recovery to meet DS coverage reqts</t>
  </si>
  <si>
    <t>Gas option</t>
  </si>
  <si>
    <t>As of 10/31/2012 This section is reserved for future development:</t>
  </si>
  <si>
    <t>Energy output delivered to Railbelt grid</t>
  </si>
  <si>
    <t>% per yr</t>
  </si>
  <si>
    <t>Interest payment (net) on financed reserve fund</t>
  </si>
  <si>
    <t>Susitna Case 1</t>
  </si>
  <si>
    <t>Susitna Case 2</t>
  </si>
  <si>
    <t>Case 1</t>
  </si>
  <si>
    <t>Case 2</t>
  </si>
  <si>
    <t>Natural Gas Case 1</t>
  </si>
  <si>
    <t>Natural Gas Case 2</t>
  </si>
  <si>
    <t>Results transferred from rate analysis tab for easier pasting to below:</t>
  </si>
  <si>
    <t>(debt service basis)</t>
  </si>
  <si>
    <t>Susitna</t>
  </si>
  <si>
    <t>Gas</t>
  </si>
  <si>
    <t>Case</t>
  </si>
  <si>
    <t>$/kWh fuel cost</t>
  </si>
  <si>
    <t>Transmission cost (operating and capital)</t>
  </si>
  <si>
    <t>Distribution cost (operating and capital)</t>
  </si>
  <si>
    <t>Admin &amp; General cost (operating and capital)</t>
  </si>
  <si>
    <t>Total capital cost - overnight basis</t>
  </si>
  <si>
    <t>Capital replacements workup</t>
  </si>
  <si>
    <t>Operating year</t>
  </si>
  <si>
    <t>Low Watana = 4 turbines</t>
  </si>
  <si>
    <t>raw data from HDR March 2009</t>
  </si>
  <si>
    <t>$ million (year 2009)</t>
  </si>
  <si>
    <t>replace turbine runners</t>
  </si>
  <si>
    <t>replace governors</t>
  </si>
  <si>
    <t>rewind rotors and stators</t>
  </si>
  <si>
    <t>rehab transformers</t>
  </si>
  <si>
    <t>structural and xmission repairs</t>
  </si>
  <si>
    <t>FERC re-license</t>
  </si>
  <si>
    <t>Total</t>
  </si>
  <si>
    <t>Inflation index</t>
  </si>
  <si>
    <t>Calendar Year</t>
  </si>
  <si>
    <t>Total nominal dollars</t>
  </si>
  <si>
    <t>Years 1-50</t>
  </si>
  <si>
    <t>Sinking fund BOY</t>
  </si>
  <si>
    <t>SF EOY</t>
  </si>
  <si>
    <t>SF payment end of yr</t>
  </si>
  <si>
    <t>SF draw end of yr</t>
  </si>
  <si>
    <t>SF earnings BOY basis</t>
  </si>
  <si>
    <t>SF payment in 2012$</t>
  </si>
  <si>
    <t>Long term debt repayment period</t>
  </si>
  <si>
    <t>Annual O&amp;M incl. capital replacements</t>
  </si>
  <si>
    <t>Selected case number (1,2,3)</t>
  </si>
  <si>
    <t>Rates based on interest and depreciation</t>
  </si>
  <si>
    <t>ref2013.d102312a</t>
  </si>
  <si>
    <t>Report</t>
  </si>
  <si>
    <t>Annual Energy Outlook 2013</t>
  </si>
  <si>
    <t>Scenario</t>
  </si>
  <si>
    <t>ref2013</t>
  </si>
  <si>
    <t>Reference case</t>
  </si>
  <si>
    <t>Datekey</t>
  </si>
  <si>
    <t>d102312a</t>
  </si>
  <si>
    <t>Release Date</t>
  </si>
  <si>
    <t xml:space="preserve"> December 2012</t>
  </si>
  <si>
    <t>http://www.eia.gov/analysis/projection-data.cfm#annualproj</t>
  </si>
  <si>
    <t>1. Total Energy Supply, Disposition, and Price Summary</t>
  </si>
  <si>
    <t>(quadrillion Btu, unless otherwise noted)</t>
  </si>
  <si>
    <t>2011-</t>
  </si>
  <si>
    <t>Production</t>
  </si>
  <si>
    <t>SUP000:ba_CrudeOilLease</t>
  </si>
  <si>
    <t xml:space="preserve">   Crude Oil and Lease Condensate</t>
  </si>
  <si>
    <t>SUP000:ba_NaturalGasPla</t>
  </si>
  <si>
    <t xml:space="preserve">   Natural Gas Plant Liquids</t>
  </si>
  <si>
    <t>SUP000:ba_DryNaturalGas</t>
  </si>
  <si>
    <t xml:space="preserve">   Dry Natural Gas</t>
  </si>
  <si>
    <t>SUP000:ba_Coal</t>
  </si>
  <si>
    <t xml:space="preserve">   Coal 1/</t>
  </si>
  <si>
    <t>SUP000:ba_NuclearPower</t>
  </si>
  <si>
    <t xml:space="preserve">   Nuclear / Uranium 2/</t>
  </si>
  <si>
    <t>SUP000:ba_Hydropower</t>
  </si>
  <si>
    <t xml:space="preserve">   Hydropower</t>
  </si>
  <si>
    <t>SUP000:ba_Biomass</t>
  </si>
  <si>
    <t xml:space="preserve">   Biomass 3/</t>
  </si>
  <si>
    <t>SUP000:ba_RenewableEner</t>
  </si>
  <si>
    <t xml:space="preserve">   Other Renewable Energy 4/</t>
  </si>
  <si>
    <t>SUP000:ba_Other</t>
  </si>
  <si>
    <t xml:space="preserve">   Other 5/</t>
  </si>
  <si>
    <t>SUP000:ba_Total</t>
  </si>
  <si>
    <t xml:space="preserve">       Total</t>
  </si>
  <si>
    <t>Imports</t>
  </si>
  <si>
    <t>SUP000:ca_CrudeOil</t>
  </si>
  <si>
    <t xml:space="preserve">   Crude Oil</t>
  </si>
  <si>
    <t>SUP000:ca_PetroleumProd</t>
  </si>
  <si>
    <t xml:space="preserve">   Liquid Fuels and Other Petroleum 6/</t>
  </si>
  <si>
    <t>SUP000:ca_NaturalGas</t>
  </si>
  <si>
    <t xml:space="preserve">   Natural Gas 7/</t>
  </si>
  <si>
    <t>SUP000:ca_OtherImports</t>
  </si>
  <si>
    <t xml:space="preserve">   Other 8/</t>
  </si>
  <si>
    <t>SUP000:ca_Total</t>
  </si>
  <si>
    <t>Exports</t>
  </si>
  <si>
    <t>SUP000:da_Petroleum</t>
  </si>
  <si>
    <t xml:space="preserve">   Liquid Fuels and Other Petroleum 9/</t>
  </si>
  <si>
    <t>SUP000:da_NaturalGas</t>
  </si>
  <si>
    <t xml:space="preserve">   Natural Gas 10/</t>
  </si>
  <si>
    <t>SUP000:da_Coal</t>
  </si>
  <si>
    <t xml:space="preserve">   Coal</t>
  </si>
  <si>
    <t>SUP000:da_Total</t>
  </si>
  <si>
    <t>SUP000:ea_Discrepancy</t>
  </si>
  <si>
    <t>Discrepancy 11/</t>
  </si>
  <si>
    <t>- -</t>
  </si>
  <si>
    <t>Consumption</t>
  </si>
  <si>
    <t>SUP000:fa_PetroleumProd</t>
  </si>
  <si>
    <t xml:space="preserve">   Liquid Fuels and Other Petroleum 12/</t>
  </si>
  <si>
    <t>SUP000:fa_NaturalGas</t>
  </si>
  <si>
    <t xml:space="preserve">   Natural Gas</t>
  </si>
  <si>
    <t>SUP000:fa_Coal</t>
  </si>
  <si>
    <t xml:space="preserve">   Coal 13/</t>
  </si>
  <si>
    <t>SUP000:fa_NuclearPower</t>
  </si>
  <si>
    <t>SUP000:fa_Hydropower</t>
  </si>
  <si>
    <t>SUP000:fa_Biomass</t>
  </si>
  <si>
    <t xml:space="preserve">   Biomass 14/</t>
  </si>
  <si>
    <t>SUP000:fa_RenewableEner</t>
  </si>
  <si>
    <t>SUP000:fa_Other</t>
  </si>
  <si>
    <t xml:space="preserve">   Other 15/</t>
  </si>
  <si>
    <t>SUP000:fa_Total</t>
  </si>
  <si>
    <t xml:space="preserve">     Total</t>
  </si>
  <si>
    <t>Prices (2011 dollars per unit)</t>
  </si>
  <si>
    <t>SUP000:ha_WorldOilPrice</t>
  </si>
  <si>
    <t xml:space="preserve">  Brent Spot Price (dollars per barrel) 16/</t>
  </si>
  <si>
    <t>SUP000:ha_ForLowSulfLit</t>
  </si>
  <si>
    <t xml:space="preserve">  West Texas Intermediate Spot Price (dollars per barrel)</t>
  </si>
  <si>
    <t>SUP000:ha_GasPriceHenry</t>
  </si>
  <si>
    <t xml:space="preserve">  Natural Gas at Henry Hub (dollars per mmBtu)</t>
  </si>
  <si>
    <t>SUP000:ha_CoalMinemouth</t>
  </si>
  <si>
    <t xml:space="preserve">  Coal, Minemouth (dollars per ton) 17/</t>
  </si>
  <si>
    <t>SUP000:ha_CoalMineBtu</t>
  </si>
  <si>
    <t xml:space="preserve">  Coal, Minemouth (dollars per million Btu) 17/</t>
  </si>
  <si>
    <t>SUP000:ha_CoalDelivered</t>
  </si>
  <si>
    <t xml:space="preserve">  Coal, Delivered (dollars per million Btu) 18/</t>
  </si>
  <si>
    <t>SUP000:ha_Electricity(c</t>
  </si>
  <si>
    <t xml:space="preserve">  Electricity (cents per kilowatthour)</t>
  </si>
  <si>
    <t>SUP000:nom_CoalMineBtu</t>
  </si>
  <si>
    <t xml:space="preserve">   1/ Includes waste coal.</t>
  </si>
  <si>
    <t xml:space="preserve">   2/ These values represent the energy obtained from uranium when it is used in light water reactors.  The total energy content of uranium</t>
  </si>
  <si>
    <t>is much larger, but alternative processes are required to take advantage of it.</t>
  </si>
  <si>
    <t xml:space="preserve">   3/ Includes grid-connected electricity from wood and wood waste; biomass, such as corn, used for liquid fuels production; and non-electric</t>
  </si>
  <si>
    <t>energy demand from wood.  Refer to Table 17 for details.</t>
  </si>
  <si>
    <t xml:space="preserve">   4/ Includes grid-connected electricity from landfill gas; biogenic municipal waste; wind; photovoltaic and solar thermal sources; and</t>
  </si>
  <si>
    <t>non-electric energy from renewable sources, such as active and passive solar systems.  Excludes electricity imports using renewable sources</t>
  </si>
  <si>
    <t>and nonmarketed renewable energy. See Table 17 for selected nonmarketed residential and commercial renewable energy data.</t>
  </si>
  <si>
    <t xml:space="preserve">   5/ Includes non-biogenic municipal waste, liquid hydrogen, methanol, and some domestic inputs to refineries.</t>
  </si>
  <si>
    <t xml:space="preserve">   6/ Includes imports of finished petroleum products, unfinished oils, alcohols, ethers, blending components, and renewable fuels such as ethanol.</t>
  </si>
  <si>
    <t xml:space="preserve">   7/ Includes imports of liquefied natural gas that are later re-exported.</t>
  </si>
  <si>
    <t xml:space="preserve">   8/ Includes coal, coal coke (net), and electricity (net).  Excludes imports of fuel used in nuclear power plants.</t>
  </si>
  <si>
    <t xml:space="preserve">   9/ Includes crude oil, petroleum products, ethanol, and biodiesel.</t>
  </si>
  <si>
    <t xml:space="preserve">   10/ Includes re-exported liquefied natual gas.</t>
  </si>
  <si>
    <t xml:space="preserve">   11/ Balancing item.  Includes unaccounted for supply, losses, gains, and net storage withdrawals.</t>
  </si>
  <si>
    <t xml:space="preserve">   12/ Includes petroleum-derived fuels and non-petroleum-derived fuels, such as ethanol and biodiesel, and coal-based synthetic liquids.  Petroleum</t>
  </si>
  <si>
    <t>coke, which is a solid, is included.  Also included are natural gas plant liquids and crude oil consumed as a fuel.  Refer to Table 17 for detailed</t>
  </si>
  <si>
    <t>renewable liquid fuels consumption.</t>
  </si>
  <si>
    <t xml:space="preserve">   13/ Excludes coal converted to coal-based synthetic liquids and natural gas.</t>
  </si>
  <si>
    <t xml:space="preserve">   14/ Includes grid-connected electricity from wood and wood waste, non-electric energy from wood, and biofuels heat and coproducts used in the</t>
  </si>
  <si>
    <t>production of liquid fuels, but excludes the energy content of the liquid fuels.</t>
  </si>
  <si>
    <t xml:space="preserve">   15/ Includes non-biogenic municipal waste, liquid hydrogen, and net electricity imports.</t>
  </si>
  <si>
    <t xml:space="preserve">   16/ Annual average price for Brent crude oil on the Intercontinental exchange.</t>
  </si>
  <si>
    <t xml:space="preserve">   17/ Includes reported prices for both open market and captive mines.  Prices weighted by production, which differs from average minemouth prices</t>
  </si>
  <si>
    <t>published in EIA data reports where it is weighted by reported sales.</t>
  </si>
  <si>
    <t xml:space="preserve">   18/ Prices weighted by consumption; weighted average excludes residential and commercial prices, and export free-alongside-ship (f.a.s.) prices.</t>
  </si>
  <si>
    <t xml:space="preserve">   MmBtu = Million Btu.</t>
  </si>
  <si>
    <t xml:space="preserve">   Note:  Totals may not equal sum of components due to independent rounding.  Data for 2010 and 2011</t>
  </si>
  <si>
    <t xml:space="preserve">   Sources:  2010 natural gas supply values:  U.S. Energy Information Administration (EIA), Natural Gas Annual</t>
  </si>
  <si>
    <t>2010, DOE/EIA-0131(2010) (Washington, DC, December 2011).</t>
  </si>
  <si>
    <t>2011 natural gas supply values:  EIA, Natural Gas Monthly, DOE/EIA-0130(2012/07) (Washington, DC, July 2012).</t>
  </si>
  <si>
    <t>2010 and 2011 natural gas spot price at Henry Hub based on daily data from Natural Gas Intelligence.</t>
  </si>
  <si>
    <t>2010 and 2011 coal minemouth and delivered coal prices:  EIA, Annual Coal Report 2011, DOE/EIA-0584(2011) (Washington, DC, November 2012).</t>
  </si>
  <si>
    <t>2011 petroleum supply values and 2010 crude oil and lease condensate production:  EIA,</t>
  </si>
  <si>
    <t>Petroleum Supply Annual 2011, DOE/EIA-0340(2011)/1 (Washington, DC, August 2012).</t>
  </si>
  <si>
    <t>Other 2010 petroleum supply values:  EIA, Petroleum Supply Annual 2010, DOE/EIA-0340(2010)/1 (Washington, DC, July 2011).</t>
  </si>
  <si>
    <t>2010 and 2011 crude oil spot prices:  Thomson Reuters.</t>
  </si>
  <si>
    <t>Other 2010 and 2011 coal values:  EIA, Quarterly Coal Report, October-December 2011, DOE/EIA-0121(2011/4Q) (Washington, DC, March 2012).</t>
  </si>
  <si>
    <t>Other 2010 and 2011 values:  EIA, Annual Energy Review 2011, DOE/EIA-0384(2011) (Washington, DC, September 2012).</t>
  </si>
  <si>
    <t>Projections:  EIA, AEO2013 National Energy Modeling System run ref2013.d102312a.</t>
  </si>
  <si>
    <t>Potential LNG Import Price based on AEO 2013 Brent Crude projections</t>
  </si>
  <si>
    <t>AEO 2013 Brent Crude spot price ($/bbl) real 2011$</t>
  </si>
  <si>
    <t>plus</t>
  </si>
  <si>
    <t>Brent used as a proxy for ANS and JCC</t>
  </si>
  <si>
    <t>Regasified CIF Cook Inlet formula (Scott 2012 p. 14)</t>
  </si>
  <si>
    <t>Implicit price index (2011=1.00)(calculated)</t>
  </si>
  <si>
    <t>Brent Crude spot price, real 2012$/bbl</t>
  </si>
  <si>
    <t>AEO 2013 Brent Crude spot price ($/bbl) nominal$ per EIA</t>
  </si>
  <si>
    <t>2012$/mmbtu</t>
  </si>
  <si>
    <t>Implied Japan LNG 2012$ price using Scott p. ES-1</t>
  </si>
  <si>
    <t>compare to BV Japan LNG price Table 7-2</t>
  </si>
  <si>
    <t>Summary re-statement for graphing</t>
  </si>
  <si>
    <t>Black &amp; Veatch Railbelt IRP</t>
  </si>
  <si>
    <t>Inflation index used by BV (2.5% per year)</t>
  </si>
  <si>
    <t>Natural Gas $ per million btu (nominal$)</t>
  </si>
  <si>
    <t>AEO 2013 reference case Henry Hub</t>
  </si>
  <si>
    <t>ISER July 2012 fuel price projections for AEA REF</t>
  </si>
  <si>
    <t>AEO 2013 Brent Crude spot price ($/bbl) real 2012$</t>
  </si>
  <si>
    <t>price index data normalized to 2011=1.00 (check)</t>
  </si>
  <si>
    <t>Natural Gas $ per million btu (2012$)</t>
  </si>
  <si>
    <t xml:space="preserve">ISER Henry Hub Projection ($/MMBtu), real 2012$ </t>
  </si>
  <si>
    <t>http://www.iser.uaa.alaska.edu/Publications/2012_07-Fuel_price_projection_2012-2035.pdf</t>
  </si>
  <si>
    <t>Brent $/bbl</t>
  </si>
  <si>
    <t>U.S. GDP Deflator 2005=1.000</t>
  </si>
  <si>
    <t>AEO GDP chain-type price index Macro Indicators table)</t>
  </si>
  <si>
    <t>Not used directly - AEO Low Oil Price Case</t>
  </si>
  <si>
    <t>Japan LNG Nominal $ using B&amp;V inflation index</t>
  </si>
  <si>
    <t>(for converting 2011$ to 2012$)</t>
  </si>
  <si>
    <t>Not used directly - additional checking of how EIA calculates GDP deflator</t>
  </si>
  <si>
    <t>Regasified imported LNG CIF Cook Inlet 2012$</t>
  </si>
  <si>
    <t>Year 2011 detail (from original analysis, probably not used)</t>
  </si>
  <si>
    <t>Year 2012 update</t>
  </si>
  <si>
    <t>MWh sales</t>
  </si>
  <si>
    <t>http://www.chugachelectric.com/system/files/annual_reports/2012_annual_report_1.pdf</t>
  </si>
  <si>
    <t>CEA 2012 Annual Report</t>
  </si>
  <si>
    <t>Source:</t>
  </si>
  <si>
    <t>Original analysis using year 2011 data</t>
  </si>
  <si>
    <t>Cost of service and revenue requirements based on debt service</t>
  </si>
  <si>
    <t>Debt service and debt principal accounting - nominal dollars</t>
  </si>
  <si>
    <t>Production Rev Reqt per kWh sold, in 2012$</t>
  </si>
  <si>
    <t>Cost of power to ratepayers in year 2012$</t>
  </si>
  <si>
    <t xml:space="preserve"> </t>
  </si>
  <si>
    <t>Capital Stock = debt principal = "rate base"</t>
  </si>
  <si>
    <t>Debt principal at start of operation</t>
  </si>
  <si>
    <t>Total Interest in nominal dollars</t>
  </si>
  <si>
    <t>$nominal billion</t>
  </si>
  <si>
    <t>$2008 million</t>
  </si>
  <si>
    <t>Escalation indexes (2012=1.00)</t>
  </si>
  <si>
    <t>Construction outlay amounts (pattern x overnight)</t>
  </si>
  <si>
    <t>HDR March 2009 outlay pattern, amounts</t>
  </si>
  <si>
    <t>Subtotal operating</t>
  </si>
  <si>
    <t>Total debt service nominal dollars</t>
  </si>
  <si>
    <t>Operating expenses</t>
  </si>
  <si>
    <t>Debt service</t>
  </si>
  <si>
    <t>Subtotal debt service</t>
  </si>
  <si>
    <t>Total production cost of power</t>
  </si>
  <si>
    <t>Revenue requirements</t>
  </si>
  <si>
    <t>Total revenue requirement for production cost</t>
  </si>
  <si>
    <t>Production revenue reqt per kWh sold</t>
  </si>
  <si>
    <t xml:space="preserve">Transmission, distribution, admin cost </t>
  </si>
  <si>
    <t>Total rev reqt = cost of power to retail customer</t>
  </si>
  <si>
    <t>Cost of power to retail customer</t>
  </si>
  <si>
    <t>Financed reserve fund</t>
  </si>
  <si>
    <t>Retained earnings fund</t>
  </si>
  <si>
    <t>Cost of service and revenue requirements based on interest and depreciation</t>
  </si>
  <si>
    <t>Subtotal interest</t>
  </si>
  <si>
    <t>Total depreciation in nominal dollars</t>
  </si>
  <si>
    <t>Subtotal depreciation</t>
  </si>
  <si>
    <t>ratio to int. pmt</t>
  </si>
  <si>
    <t>Balance before application of excess to COS</t>
  </si>
  <si>
    <t>Capacity</t>
  </si>
  <si>
    <t>Lead time</t>
  </si>
  <si>
    <t>Fixed O&amp;M</t>
  </si>
  <si>
    <t>Variable O&amp;M</t>
  </si>
  <si>
    <t xml:space="preserve">   plus: Transmission, distribution, admin</t>
  </si>
  <si>
    <t>Rates based on debt service</t>
  </si>
  <si>
    <t>General inflation rate</t>
  </si>
  <si>
    <t>debt service</t>
  </si>
  <si>
    <t>Retained margins fund target balance</t>
  </si>
  <si>
    <t>Additions to REF to meet DS coverage</t>
  </si>
  <si>
    <t>Target REF balance = remaining principal EOY</t>
  </si>
  <si>
    <t>Debt retirement from retained earnings</t>
  </si>
  <si>
    <t>Misc withdrawals from REF</t>
  </si>
  <si>
    <t>Balance before application to retirement of debt</t>
  </si>
  <si>
    <t>REF allocation to debt retirement</t>
  </si>
  <si>
    <t>REF allocation to COS</t>
  </si>
  <si>
    <t>REF Balance EOY</t>
  </si>
  <si>
    <t>Application of retained earnings</t>
  </si>
  <si>
    <t>Debt principal before retirement from ret. earngs.</t>
  </si>
  <si>
    <t>Tornado diagrams</t>
  </si>
  <si>
    <t>Year 2024 production cost of power</t>
  </si>
  <si>
    <t>Susitna year 2024 production cost per kWh in 2012$</t>
  </si>
  <si>
    <t>Assumption</t>
  </si>
  <si>
    <t>Susitna Cost of power</t>
  </si>
  <si>
    <t>assumption values</t>
  </si>
  <si>
    <t>result values</t>
  </si>
  <si>
    <t>low</t>
  </si>
  <si>
    <t>high</t>
  </si>
  <si>
    <t>Base:</t>
  </si>
  <si>
    <t>Debt svc coverage
reference = 1.00</t>
  </si>
  <si>
    <t>Interest rate
 during / after const.
reference = 2% / 5%</t>
  </si>
  <si>
    <t>Case 2 LNG Imports pegged to AEO Brent</t>
  </si>
  <si>
    <t>Case 1 Railbelt IRP</t>
  </si>
  <si>
    <t>Compare to Hilcorp consent decree limits nominal $</t>
  </si>
  <si>
    <t>Delivery charge to CEA power plant (avg from Q3 2013 fuel surcharge filing)</t>
  </si>
  <si>
    <t>Delivered price to power plant using consent decree price cap nominal $</t>
  </si>
  <si>
    <t>Component</t>
  </si>
  <si>
    <t>Fuel and purchased power expense</t>
  </si>
  <si>
    <t>Nonfuel operation and maintenance expense</t>
  </si>
  <si>
    <t>Depreciation of power production plant</t>
  </si>
  <si>
    <t>Interest on debt used to finance power production plant</t>
  </si>
  <si>
    <t>Repayment of debt principal</t>
  </si>
  <si>
    <t>Table ?2 amended version of COS</t>
  </si>
  <si>
    <t>Service lifetime</t>
  </si>
  <si>
    <t>total O&amp;M</t>
  </si>
  <si>
    <t>variable O&amp;M</t>
  </si>
  <si>
    <t>fixed O&amp;M</t>
  </si>
  <si>
    <t>MW gas  capacity</t>
  </si>
  <si>
    <t>assumed variable O&amp;M per MWh</t>
  </si>
  <si>
    <t>dormant</t>
  </si>
  <si>
    <t>Installed capacity</t>
  </si>
  <si>
    <t xml:space="preserve">Transmission, distribution, &amp; admin cost </t>
  </si>
  <si>
    <t>Susitna Case 3</t>
  </si>
  <si>
    <t>Financed reserve fund - ratio to debt service</t>
  </si>
  <si>
    <t>ratio</t>
  </si>
  <si>
    <t>AK OMB FY14 guidance</t>
  </si>
  <si>
    <t>Production cost per kWh sold</t>
  </si>
  <si>
    <t>Retail revenue req't per kWh sold</t>
  </si>
  <si>
    <t>Pasted results for graphing</t>
  </si>
  <si>
    <t>Production cost</t>
  </si>
  <si>
    <t>Retail revenue req't</t>
  </si>
  <si>
    <t>Pasted values for multiple cases</t>
  </si>
  <si>
    <t>Economic lifetime</t>
  </si>
  <si>
    <t>Natural gas price trajectory choice (1,2)</t>
  </si>
  <si>
    <t>Required debt service coverage ratio</t>
  </si>
  <si>
    <t>AEA</t>
  </si>
  <si>
    <t>author</t>
  </si>
  <si>
    <t>AEA, sens</t>
  </si>
  <si>
    <t>AEA, author calcs from HDR 2009</t>
  </si>
  <si>
    <t>Author calcs from Energy Statistics</t>
  </si>
  <si>
    <t>Author calcs from CEA 2012 ann rept</t>
  </si>
  <si>
    <t>CEA rate filing, sens</t>
  </si>
  <si>
    <t>Author assumption</t>
  </si>
  <si>
    <t>Pasted</t>
  </si>
  <si>
    <t>Value by</t>
  </si>
  <si>
    <t>formula</t>
  </si>
  <si>
    <t>Paste from:</t>
  </si>
  <si>
    <t>Paste to:</t>
  </si>
  <si>
    <t>2% / 4%</t>
  </si>
  <si>
    <t>6% / 6%</t>
  </si>
  <si>
    <t>reference</t>
  </si>
  <si>
    <t>Interest rate</t>
  </si>
  <si>
    <t>capital cost</t>
  </si>
  <si>
    <t>Capital  cost
 reference = 5.19 billion</t>
  </si>
  <si>
    <t>DS coverage</t>
  </si>
  <si>
    <t>Interest rate earned on short-run lending of FRF</t>
  </si>
  <si>
    <t>Natural gas price 2012 $ per million btu</t>
  </si>
  <si>
    <t>Info item</t>
  </si>
  <si>
    <t>Fuel cost per kWh sold</t>
  </si>
  <si>
    <t>ratio of capital cost per kWh</t>
  </si>
  <si>
    <t>Table 1</t>
  </si>
  <si>
    <t>Possible additional "interest coverage" required by bondholders</t>
  </si>
  <si>
    <t>Case 3</t>
  </si>
  <si>
    <t>2012 dollars per million btu</t>
  </si>
  <si>
    <t>Summary for Table</t>
  </si>
  <si>
    <t>Low: Black &amp; Veatch 2010 Railbelt IRP</t>
  </si>
  <si>
    <t>High: LNG import gas price based on AEO Brent projection</t>
  </si>
  <si>
    <t>Fay July 2012 reference case based on Henry Hub</t>
  </si>
  <si>
    <t>Natural gas price trajectory</t>
  </si>
  <si>
    <t>Carbon tax</t>
  </si>
  <si>
    <t>tons per mmbtu</t>
  </si>
  <si>
    <t>$/ton tax</t>
  </si>
  <si>
    <t>$/mmbtu</t>
  </si>
  <si>
    <t>mmbtu/kWh</t>
  </si>
  <si>
    <t>Susitna-Watana Cost Analysis Worksheet</t>
  </si>
  <si>
    <t>prepared by</t>
  </si>
  <si>
    <t>Steve Colt</t>
  </si>
  <si>
    <t>sgcolt@uaa.alaska.edu</t>
  </si>
  <si>
    <t>Institute of Social and Economic Research</t>
  </si>
  <si>
    <t>University of Alaska Anchorage</t>
  </si>
  <si>
    <t>prepared for</t>
  </si>
  <si>
    <t>National Renewable Energy Laboratory</t>
  </si>
  <si>
    <t>Subcontract AGJ-1-11966-01</t>
  </si>
  <si>
    <t>As Modified by Modification Number ____ dated ______</t>
  </si>
  <si>
    <t>This worksheet constitutes part of Deliverable #5</t>
  </si>
  <si>
    <t>Final Report version, dated 26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</si>
</sst>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%"/>
    <numFmt numFmtId="166" formatCode="0.0_)"/>
    <numFmt numFmtId="167" formatCode="0.0"/>
    <numFmt numFmtId="168" formatCode="_(* #,##0_);_(* \(#,##0\);_(* &quot;-&quot;??_);_(@_)"/>
    <numFmt numFmtId="169" formatCode="_(* #,##0_);_(* \(#,##0\)"/>
    <numFmt numFmtId="170" formatCode="_(* #,##0.000_);_(* \(#,##0.000\)"/>
    <numFmt numFmtId="171" formatCode="_(* #,##0.00_);_(* \(#,##0.00\)"/>
    <numFmt numFmtId="172" formatCode="#,##0.0_);\(#,##0.0\)"/>
    <numFmt numFmtId="173" formatCode="_(* #,##0.0_);_(* \(#,##0.0\)"/>
    <numFmt numFmtId="174" formatCode="_(* #,##0.000000000_);_(* \(#,##0.000000000\);_(* &quot;-&quot;??_);_(@_)"/>
    <numFmt numFmtId="175" formatCode="_(* #,##0.0_);_(* \(#,##0.0\);_(* &quot;-&quot;??_);_(@_)"/>
    <numFmt numFmtId="176" formatCode="_(* #,##0.0_);_(* \(#,##0.0\);_(* &quot;-&quot;_);_(@_)"/>
    <numFmt numFmtId="177" formatCode="_(* #,##0.000_);_(* \(#,##0.000\);_(* &quot;-&quot;??_);_(@_)"/>
    <numFmt numFmtId="178" formatCode="_(* #,##0.000_);_(* \(#,##0.000\);_(* &quot;-&quot;_);_(@_)"/>
    <numFmt numFmtId="179" formatCode="0_);[Red]\(0\)"/>
    <numFmt numFmtId="180" formatCode="0.0000"/>
    <numFmt numFmtId="181" formatCode="_(* #,##0.0000_);_(* \(#,##0.0000\);_(* &quot;-&quot;??_);_(@_)"/>
    <numFmt numFmtId="182" formatCode="0.000000"/>
    <numFmt numFmtId="183" formatCode="0.00000"/>
    <numFmt numFmtId="184" formatCode="0.000_);[Red]\(0.000\)"/>
    <numFmt numFmtId="185" formatCode="#,##0.000_);\(#,##0.000\)"/>
    <numFmt numFmtId="186" formatCode="#,##0.0000_);\(#,##0.0000\)"/>
    <numFmt numFmtId="187" formatCode="_(* #,##0.00_);_(* \(#,##0.0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CC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3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165" fontId="0" fillId="0" borderId="0" xfId="0" applyNumberFormat="1"/>
    <xf numFmtId="165" fontId="0" fillId="0" borderId="0" xfId="2" applyNumberFormat="1" applyFont="1"/>
    <xf numFmtId="0" fontId="0" fillId="0" borderId="0" xfId="0" applyProtection="1"/>
    <xf numFmtId="166" fontId="3" fillId="0" borderId="0" xfId="0" applyNumberFormat="1" applyFont="1" applyProtection="1"/>
    <xf numFmtId="0" fontId="0" fillId="0" borderId="0" xfId="0" applyBorder="1" applyProtection="1"/>
    <xf numFmtId="166" fontId="3" fillId="0" borderId="0" xfId="0" applyNumberFormat="1" applyFont="1" applyBorder="1" applyProtection="1"/>
    <xf numFmtId="167" fontId="3" fillId="0" borderId="0" xfId="0" applyNumberFormat="1" applyFont="1" applyFill="1" applyBorder="1"/>
    <xf numFmtId="0" fontId="0" fillId="0" borderId="0" xfId="0" applyFill="1" applyBorder="1" applyProtection="1"/>
    <xf numFmtId="166" fontId="3" fillId="0" borderId="0" xfId="0" applyNumberFormat="1" applyFont="1" applyFill="1" applyBorder="1" applyProtection="1"/>
    <xf numFmtId="166" fontId="0" fillId="0" borderId="0" xfId="0" applyNumberFormat="1"/>
    <xf numFmtId="0" fontId="0" fillId="0" borderId="0" xfId="0" applyAlignment="1">
      <alignment wrapText="1"/>
    </xf>
    <xf numFmtId="168" fontId="0" fillId="0" borderId="0" xfId="0" applyNumberFormat="1"/>
    <xf numFmtId="41" fontId="9" fillId="0" borderId="0" xfId="3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41" fontId="10" fillId="0" borderId="0" xfId="3" applyFont="1"/>
    <xf numFmtId="41" fontId="11" fillId="0" borderId="0" xfId="3" applyFont="1"/>
    <xf numFmtId="171" fontId="11" fillId="0" borderId="0" xfId="3" applyNumberFormat="1" applyFont="1"/>
    <xf numFmtId="169" fontId="10" fillId="0" borderId="0" xfId="0" applyNumberFormat="1" applyFont="1"/>
    <xf numFmtId="0" fontId="12" fillId="0" borderId="0" xfId="0" applyFont="1"/>
    <xf numFmtId="0" fontId="12" fillId="0" borderId="1" xfId="0" quotePrefix="1" applyFont="1" applyBorder="1" applyAlignment="1">
      <alignment horizontal="center"/>
    </xf>
    <xf numFmtId="0" fontId="12" fillId="0" borderId="1" xfId="0" applyFont="1" applyBorder="1"/>
    <xf numFmtId="2" fontId="12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quotePrefix="1" applyFont="1" applyAlignment="1">
      <alignment horizontal="left"/>
    </xf>
    <xf numFmtId="41" fontId="12" fillId="0" borderId="0" xfId="3" applyFont="1"/>
    <xf numFmtId="170" fontId="12" fillId="0" borderId="0" xfId="3" applyNumberFormat="1" applyFont="1"/>
    <xf numFmtId="169" fontId="12" fillId="0" borderId="0" xfId="0" applyNumberFormat="1" applyFont="1"/>
    <xf numFmtId="167" fontId="12" fillId="0" borderId="0" xfId="0" applyNumberFormat="1" applyFont="1"/>
    <xf numFmtId="172" fontId="12" fillId="0" borderId="0" xfId="1" applyNumberFormat="1" applyFont="1"/>
    <xf numFmtId="173" fontId="12" fillId="0" borderId="0" xfId="0" applyNumberFormat="1" applyFont="1"/>
    <xf numFmtId="165" fontId="6" fillId="2" borderId="0" xfId="2" applyNumberFormat="1" applyFont="1" applyFill="1"/>
    <xf numFmtId="174" fontId="12" fillId="0" borderId="0" xfId="1" applyNumberFormat="1" applyFont="1"/>
    <xf numFmtId="0" fontId="12" fillId="0" borderId="0" xfId="0" applyFont="1" applyAlignment="1">
      <alignment horizontal="left" indent="1"/>
    </xf>
    <xf numFmtId="176" fontId="12" fillId="0" borderId="0" xfId="3" applyNumberFormat="1" applyFont="1"/>
    <xf numFmtId="168" fontId="6" fillId="2" borderId="0" xfId="1" applyNumberFormat="1" applyFont="1" applyFill="1"/>
    <xf numFmtId="173" fontId="13" fillId="0" borderId="0" xfId="0" applyNumberFormat="1" applyFont="1"/>
    <xf numFmtId="176" fontId="13" fillId="0" borderId="0" xfId="3" applyNumberFormat="1" applyFont="1"/>
    <xf numFmtId="176" fontId="10" fillId="0" borderId="0" xfId="3" applyNumberFormat="1" applyFont="1"/>
    <xf numFmtId="43" fontId="6" fillId="2" borderId="0" xfId="1" applyNumberFormat="1" applyFont="1" applyFill="1"/>
    <xf numFmtId="43" fontId="12" fillId="0" borderId="0" xfId="0" applyNumberFormat="1" applyFont="1"/>
    <xf numFmtId="168" fontId="12" fillId="0" borderId="0" xfId="1" applyNumberFormat="1" applyFont="1"/>
    <xf numFmtId="173" fontId="12" fillId="0" borderId="0" xfId="0" applyNumberFormat="1" applyFont="1" applyFill="1"/>
    <xf numFmtId="43" fontId="0" fillId="0" borderId="0" xfId="0" applyNumberFormat="1"/>
    <xf numFmtId="175" fontId="0" fillId="0" borderId="0" xfId="1" applyNumberFormat="1" applyFont="1"/>
    <xf numFmtId="168" fontId="0" fillId="0" borderId="0" xfId="1" applyNumberFormat="1" applyFont="1"/>
    <xf numFmtId="177" fontId="0" fillId="0" borderId="0" xfId="0" applyNumberFormat="1"/>
    <xf numFmtId="177" fontId="0" fillId="0" borderId="0" xfId="1" applyNumberFormat="1" applyFont="1"/>
    <xf numFmtId="177" fontId="6" fillId="2" borderId="0" xfId="1" applyNumberFormat="1" applyFont="1" applyFill="1"/>
    <xf numFmtId="178" fontId="12" fillId="0" borderId="0" xfId="3" applyNumberFormat="1" applyFont="1"/>
    <xf numFmtId="0" fontId="12" fillId="0" borderId="0" xfId="0" applyFont="1" applyAlignment="1">
      <alignment horizontal="center"/>
    </xf>
    <xf numFmtId="0" fontId="12" fillId="0" borderId="0" xfId="1" applyNumberFormat="1" applyFont="1"/>
    <xf numFmtId="166" fontId="11" fillId="0" borderId="0" xfId="0" applyNumberFormat="1" applyFont="1" applyFill="1" applyBorder="1" applyProtection="1"/>
    <xf numFmtId="177" fontId="12" fillId="0" borderId="0" xfId="1" applyNumberFormat="1" applyFont="1"/>
    <xf numFmtId="43" fontId="12" fillId="0" borderId="0" xfId="1" applyNumberFormat="1" applyFont="1"/>
    <xf numFmtId="177" fontId="11" fillId="0" borderId="0" xfId="1" applyNumberFormat="1" applyFont="1" applyFill="1"/>
    <xf numFmtId="170" fontId="12" fillId="0" borderId="0" xfId="0" applyNumberFormat="1" applyFont="1"/>
    <xf numFmtId="170" fontId="12" fillId="0" borderId="0" xfId="0" applyNumberFormat="1" applyFont="1" applyFill="1"/>
    <xf numFmtId="170" fontId="13" fillId="0" borderId="0" xfId="0" applyNumberFormat="1" applyFont="1"/>
    <xf numFmtId="170" fontId="0" fillId="0" borderId="0" xfId="0" applyNumberFormat="1"/>
    <xf numFmtId="170" fontId="9" fillId="0" borderId="0" xfId="3" applyNumberFormat="1" applyFont="1"/>
    <xf numFmtId="170" fontId="10" fillId="0" borderId="0" xfId="3" applyNumberFormat="1" applyFont="1"/>
    <xf numFmtId="178" fontId="11" fillId="0" borderId="0" xfId="3" applyNumberFormat="1" applyFont="1"/>
    <xf numFmtId="178" fontId="13" fillId="0" borderId="0" xfId="3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0" fontId="14" fillId="0" borderId="0" xfId="0" applyFont="1"/>
    <xf numFmtId="9" fontId="6" fillId="2" borderId="0" xfId="2" applyFont="1" applyFill="1"/>
    <xf numFmtId="0" fontId="12" fillId="0" borderId="0" xfId="0" quotePrefix="1" applyFont="1"/>
    <xf numFmtId="177" fontId="12" fillId="0" borderId="0" xfId="0" applyNumberFormat="1" applyFont="1"/>
    <xf numFmtId="177" fontId="12" fillId="3" borderId="0" xfId="1" applyNumberFormat="1" applyFont="1" applyFill="1"/>
    <xf numFmtId="178" fontId="10" fillId="0" borderId="0" xfId="0" applyNumberFormat="1" applyFont="1"/>
    <xf numFmtId="0" fontId="11" fillId="0" borderId="0" xfId="4"/>
    <xf numFmtId="0" fontId="11" fillId="0" borderId="0" xfId="4" applyFont="1"/>
    <xf numFmtId="179" fontId="10" fillId="0" borderId="0" xfId="4" applyNumberFormat="1" applyFont="1" applyBorder="1"/>
    <xf numFmtId="0" fontId="10" fillId="0" borderId="0" xfId="4" applyFont="1"/>
    <xf numFmtId="2" fontId="11" fillId="0" borderId="0" xfId="4" applyNumberFormat="1"/>
    <xf numFmtId="9" fontId="11" fillId="0" borderId="0" xfId="4" applyNumberFormat="1"/>
    <xf numFmtId="0" fontId="12" fillId="0" borderId="0" xfId="0" quotePrefix="1" applyFont="1" applyBorder="1" applyAlignment="1">
      <alignment horizontal="center"/>
    </xf>
    <xf numFmtId="0" fontId="6" fillId="2" borderId="0" xfId="0" applyFont="1" applyFill="1" applyBorder="1"/>
    <xf numFmtId="0" fontId="12" fillId="0" borderId="0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43" fontId="6" fillId="2" borderId="0" xfId="1" applyFont="1" applyFill="1"/>
    <xf numFmtId="168" fontId="11" fillId="2" borderId="0" xfId="1" applyNumberFormat="1" applyFont="1" applyFill="1"/>
    <xf numFmtId="164" fontId="11" fillId="2" borderId="0" xfId="0" applyNumberFormat="1" applyFont="1" applyFill="1"/>
    <xf numFmtId="177" fontId="11" fillId="2" borderId="0" xfId="1" applyNumberFormat="1" applyFont="1" applyFill="1"/>
    <xf numFmtId="180" fontId="11" fillId="0" borderId="0" xfId="0" applyNumberFormat="1" applyFont="1" applyFill="1" applyBorder="1"/>
    <xf numFmtId="43" fontId="12" fillId="0" borderId="0" xfId="1" quotePrefix="1" applyFont="1" applyBorder="1" applyAlignment="1">
      <alignment horizontal="center"/>
    </xf>
    <xf numFmtId="177" fontId="11" fillId="0" borderId="0" xfId="1" applyNumberFormat="1" applyFont="1" applyFill="1" applyBorder="1"/>
    <xf numFmtId="0" fontId="6" fillId="2" borderId="0" xfId="0" applyFont="1" applyFill="1"/>
    <xf numFmtId="43" fontId="12" fillId="0" borderId="0" xfId="1" applyFont="1"/>
    <xf numFmtId="43" fontId="11" fillId="0" borderId="0" xfId="1" applyFont="1"/>
    <xf numFmtId="0" fontId="6" fillId="0" borderId="0" xfId="0" applyFont="1"/>
    <xf numFmtId="0" fontId="12" fillId="0" borderId="0" xfId="0" applyFont="1" applyFill="1"/>
    <xf numFmtId="39" fontId="12" fillId="0" borderId="0" xfId="1" applyNumberFormat="1" applyFont="1"/>
    <xf numFmtId="39" fontId="12" fillId="0" borderId="0" xfId="0" applyNumberFormat="1" applyFont="1"/>
    <xf numFmtId="0" fontId="0" fillId="0" borderId="0" xfId="0" applyAlignment="1"/>
    <xf numFmtId="3" fontId="19" fillId="0" borderId="0" xfId="7" applyNumberFormat="1" applyFont="1" applyFill="1" applyBorder="1" applyAlignment="1">
      <alignment horizontal="right"/>
    </xf>
    <xf numFmtId="168" fontId="0" fillId="4" borderId="0" xfId="0" applyNumberFormat="1" applyFill="1"/>
    <xf numFmtId="0" fontId="10" fillId="0" borderId="0" xfId="4" applyFont="1" applyFill="1"/>
    <xf numFmtId="0" fontId="20" fillId="0" borderId="0" xfId="8" applyFill="1"/>
    <xf numFmtId="0" fontId="0" fillId="0" borderId="0" xfId="0" quotePrefix="1"/>
    <xf numFmtId="177" fontId="0" fillId="4" borderId="0" xfId="0" applyNumberFormat="1" applyFill="1"/>
    <xf numFmtId="0" fontId="20" fillId="0" borderId="0" xfId="8"/>
    <xf numFmtId="0" fontId="17" fillId="0" borderId="0" xfId="0" applyFont="1" applyAlignment="1">
      <alignment horizontal="left"/>
    </xf>
    <xf numFmtId="0" fontId="0" fillId="0" borderId="0" xfId="0" applyBorder="1"/>
    <xf numFmtId="0" fontId="14" fillId="0" borderId="0" xfId="0" applyFont="1" applyBorder="1"/>
    <xf numFmtId="0" fontId="12" fillId="0" borderId="0" xfId="0" quotePrefix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2" fontId="12" fillId="0" borderId="1" xfId="0" applyNumberFormat="1" applyFont="1" applyBorder="1"/>
    <xf numFmtId="0" fontId="13" fillId="0" borderId="1" xfId="0" applyFont="1" applyBorder="1"/>
    <xf numFmtId="10" fontId="6" fillId="2" borderId="0" xfId="2" applyNumberFormat="1" applyFont="1" applyFill="1"/>
    <xf numFmtId="0" fontId="13" fillId="0" borderId="0" xfId="1" applyNumberFormat="1" applyFont="1"/>
    <xf numFmtId="181" fontId="12" fillId="0" borderId="0" xfId="1" applyNumberFormat="1" applyFont="1"/>
    <xf numFmtId="171" fontId="10" fillId="0" borderId="0" xfId="0" applyNumberFormat="1" applyFont="1"/>
    <xf numFmtId="8" fontId="12" fillId="0" borderId="0" xfId="0" applyNumberFormat="1" applyFont="1"/>
    <xf numFmtId="181" fontId="12" fillId="0" borderId="0" xfId="0" applyNumberFormat="1" applyFont="1" applyAlignment="1">
      <alignment horizontal="left"/>
    </xf>
    <xf numFmtId="177" fontId="12" fillId="7" borderId="0" xfId="1" applyNumberFormat="1" applyFont="1" applyFill="1" applyAlignment="1">
      <alignment horizontal="left"/>
    </xf>
    <xf numFmtId="177" fontId="12" fillId="5" borderId="0" xfId="1" applyNumberFormat="1" applyFont="1" applyFill="1"/>
    <xf numFmtId="182" fontId="12" fillId="0" borderId="0" xfId="0" applyNumberFormat="1" applyFont="1"/>
    <xf numFmtId="177" fontId="6" fillId="0" borderId="0" xfId="1" applyNumberFormat="1" applyFont="1"/>
    <xf numFmtId="37" fontId="12" fillId="0" borderId="0" xfId="1" applyNumberFormat="1" applyFont="1" applyAlignment="1">
      <alignment horizontal="right"/>
    </xf>
    <xf numFmtId="177" fontId="11" fillId="0" borderId="0" xfId="1" applyNumberFormat="1" applyFont="1"/>
    <xf numFmtId="164" fontId="6" fillId="2" borderId="0" xfId="0" applyNumberFormat="1" applyFont="1" applyFill="1"/>
    <xf numFmtId="164" fontId="11" fillId="0" borderId="0" xfId="0" applyNumberFormat="1" applyFont="1" applyFill="1"/>
    <xf numFmtId="9" fontId="11" fillId="0" borderId="0" xfId="2" applyFont="1" applyFill="1"/>
    <xf numFmtId="165" fontId="11" fillId="0" borderId="0" xfId="2" applyNumberFormat="1" applyFont="1" applyFill="1"/>
    <xf numFmtId="168" fontId="11" fillId="0" borderId="0" xfId="1" applyNumberFormat="1" applyFont="1" applyFill="1"/>
    <xf numFmtId="10" fontId="11" fillId="0" borderId="0" xfId="2" applyNumberFormat="1" applyFont="1" applyFill="1"/>
    <xf numFmtId="43" fontId="11" fillId="0" borderId="0" xfId="1" applyNumberFormat="1" applyFont="1" applyFill="1"/>
    <xf numFmtId="164" fontId="11" fillId="0" borderId="0" xfId="4" applyNumberFormat="1"/>
    <xf numFmtId="168" fontId="6" fillId="0" borderId="0" xfId="1" applyNumberFormat="1" applyFont="1" applyFill="1"/>
    <xf numFmtId="177" fontId="6" fillId="0" borderId="0" xfId="1" applyNumberFormat="1" applyFont="1" applyFill="1"/>
    <xf numFmtId="0" fontId="12" fillId="0" borderId="0" xfId="0" applyFont="1" applyFill="1" applyAlignment="1">
      <alignment horizontal="center"/>
    </xf>
    <xf numFmtId="0" fontId="12" fillId="9" borderId="0" xfId="0" applyFont="1" applyFill="1"/>
    <xf numFmtId="0" fontId="12" fillId="9" borderId="0" xfId="0" applyFont="1" applyFill="1" applyAlignment="1">
      <alignment horizontal="left"/>
    </xf>
    <xf numFmtId="2" fontId="12" fillId="9" borderId="0" xfId="0" applyNumberFormat="1" applyFont="1" applyFill="1"/>
    <xf numFmtId="181" fontId="12" fillId="0" borderId="0" xfId="0" applyNumberFormat="1" applyFont="1"/>
    <xf numFmtId="0" fontId="11" fillId="0" borderId="0" xfId="4" applyFont="1" applyFill="1"/>
    <xf numFmtId="0" fontId="13" fillId="0" borderId="1" xfId="1" applyNumberFormat="1" applyFont="1" applyBorder="1"/>
    <xf numFmtId="43" fontId="0" fillId="0" borderId="0" xfId="1" applyFont="1"/>
    <xf numFmtId="180" fontId="12" fillId="0" borderId="0" xfId="0" applyNumberFormat="1" applyFont="1"/>
    <xf numFmtId="175" fontId="11" fillId="0" borderId="0" xfId="1" applyNumberFormat="1" applyFont="1" applyFill="1"/>
    <xf numFmtId="181" fontId="6" fillId="0" borderId="0" xfId="1" applyNumberFormat="1" applyFont="1" applyFill="1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8" fontId="0" fillId="0" borderId="0" xfId="0" applyNumberFormat="1"/>
    <xf numFmtId="181" fontId="0" fillId="2" borderId="0" xfId="1" applyNumberFormat="1" applyFont="1" applyFill="1"/>
    <xf numFmtId="43" fontId="0" fillId="10" borderId="0" xfId="0" applyNumberFormat="1" applyFill="1"/>
    <xf numFmtId="0" fontId="12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 applyProtection="1">
      <alignment horizontal="left"/>
    </xf>
    <xf numFmtId="0" fontId="16" fillId="0" borderId="0" xfId="5"/>
    <xf numFmtId="0" fontId="15" fillId="0" borderId="0" xfId="0" applyFont="1"/>
    <xf numFmtId="0" fontId="10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6" applyNumberFormat="1" applyFont="1" applyAlignment="1">
      <alignment horizontal="right"/>
    </xf>
    <xf numFmtId="2" fontId="10" fillId="0" borderId="0" xfId="0" applyNumberFormat="1" applyFont="1"/>
    <xf numFmtId="165" fontId="10" fillId="0" borderId="0" xfId="6" applyFont="1" applyAlignment="1">
      <alignment horizontal="right"/>
    </xf>
    <xf numFmtId="0" fontId="11" fillId="0" borderId="0" xfId="0" applyFont="1"/>
    <xf numFmtId="167" fontId="0" fillId="0" borderId="0" xfId="0" applyNumberFormat="1"/>
    <xf numFmtId="0" fontId="11" fillId="0" borderId="3" xfId="4" applyBorder="1"/>
    <xf numFmtId="0" fontId="11" fillId="0" borderId="11" xfId="4" quotePrefix="1" applyBorder="1"/>
    <xf numFmtId="2" fontId="6" fillId="2" borderId="2" xfId="4" applyNumberFormat="1" applyFont="1" applyFill="1" applyBorder="1"/>
    <xf numFmtId="0" fontId="6" fillId="2" borderId="3" xfId="4" applyFont="1" applyFill="1" applyBorder="1"/>
    <xf numFmtId="183" fontId="11" fillId="0" borderId="0" xfId="4" applyNumberFormat="1"/>
    <xf numFmtId="180" fontId="12" fillId="0" borderId="0" xfId="0" applyNumberFormat="1" applyFont="1" applyAlignment="1">
      <alignment wrapText="1"/>
    </xf>
    <xf numFmtId="183" fontId="12" fillId="0" borderId="0" xfId="0" applyNumberFormat="1" applyFont="1" applyAlignment="1">
      <alignment wrapText="1"/>
    </xf>
    <xf numFmtId="43" fontId="11" fillId="0" borderId="0" xfId="4" applyNumberFormat="1"/>
    <xf numFmtId="168" fontId="6" fillId="5" borderId="0" xfId="1" applyNumberFormat="1" applyFont="1" applyFill="1"/>
    <xf numFmtId="43" fontId="6" fillId="5" borderId="0" xfId="1" applyNumberFormat="1" applyFont="1" applyFill="1"/>
    <xf numFmtId="168" fontId="11" fillId="5" borderId="0" xfId="1" applyNumberFormat="1" applyFont="1" applyFill="1"/>
    <xf numFmtId="0" fontId="6" fillId="5" borderId="0" xfId="0" applyFont="1" applyFill="1"/>
    <xf numFmtId="164" fontId="11" fillId="5" borderId="0" xfId="0" applyNumberFormat="1" applyFont="1" applyFill="1"/>
    <xf numFmtId="175" fontId="6" fillId="5" borderId="0" xfId="1" applyNumberFormat="1" applyFont="1" applyFill="1"/>
    <xf numFmtId="0" fontId="12" fillId="5" borderId="0" xfId="0" applyFont="1" applyFill="1"/>
    <xf numFmtId="43" fontId="6" fillId="5" borderId="0" xfId="1" applyFont="1" applyFill="1"/>
    <xf numFmtId="177" fontId="11" fillId="5" borderId="0" xfId="1" applyNumberFormat="1" applyFont="1" applyFill="1"/>
    <xf numFmtId="9" fontId="6" fillId="5" borderId="0" xfId="2" applyFont="1" applyFill="1"/>
    <xf numFmtId="165" fontId="6" fillId="5" borderId="0" xfId="2" applyNumberFormat="1" applyFont="1" applyFill="1"/>
    <xf numFmtId="10" fontId="6" fillId="5" borderId="0" xfId="2" applyNumberFormat="1" applyFont="1" applyFill="1"/>
    <xf numFmtId="177" fontId="6" fillId="5" borderId="0" xfId="1" applyNumberFormat="1" applyFont="1" applyFill="1"/>
    <xf numFmtId="43" fontId="11" fillId="0" borderId="0" xfId="1" applyFont="1" applyFill="1"/>
    <xf numFmtId="43" fontId="12" fillId="0" borderId="0" xfId="1" applyNumberFormat="1" applyFont="1" applyAlignment="1">
      <alignment wrapText="1"/>
    </xf>
    <xf numFmtId="165" fontId="6" fillId="0" borderId="0" xfId="2" applyNumberFormat="1" applyFont="1"/>
    <xf numFmtId="184" fontId="6" fillId="0" borderId="0" xfId="4" applyNumberFormat="1" applyFont="1" applyBorder="1"/>
    <xf numFmtId="0" fontId="11" fillId="0" borderId="0" xfId="4" applyAlignment="1">
      <alignment horizontal="left" indent="1"/>
    </xf>
    <xf numFmtId="2" fontId="6" fillId="0" borderId="0" xfId="4" applyNumberFormat="1" applyFont="1"/>
    <xf numFmtId="0" fontId="6" fillId="0" borderId="0" xfId="4" applyFont="1"/>
    <xf numFmtId="0" fontId="6" fillId="0" borderId="0" xfId="4" applyFont="1" applyFill="1"/>
    <xf numFmtId="43" fontId="6" fillId="0" borderId="0" xfId="1" applyFont="1"/>
    <xf numFmtId="0" fontId="11" fillId="0" borderId="0" xfId="4" quotePrefix="1"/>
    <xf numFmtId="43" fontId="10" fillId="0" borderId="0" xfId="1" applyFont="1"/>
    <xf numFmtId="43" fontId="10" fillId="0" borderId="0" xfId="1" applyFont="1" applyBorder="1"/>
    <xf numFmtId="43" fontId="11" fillId="0" borderId="0" xfId="1" applyFont="1" applyBorder="1"/>
    <xf numFmtId="165" fontId="1" fillId="0" borderId="0" xfId="2" applyNumberFormat="1" applyFont="1"/>
    <xf numFmtId="175" fontId="1" fillId="0" borderId="0" xfId="1" applyNumberFormat="1" applyFont="1"/>
    <xf numFmtId="168" fontId="1" fillId="0" borderId="0" xfId="1" applyNumberFormat="1" applyFont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39" fontId="12" fillId="0" borderId="0" xfId="1" applyNumberFormat="1" applyFont="1" applyFill="1" applyBorder="1"/>
    <xf numFmtId="39" fontId="12" fillId="0" borderId="0" xfId="0" applyNumberFormat="1" applyFont="1" applyFill="1" applyBorder="1"/>
    <xf numFmtId="177" fontId="13" fillId="0" borderId="0" xfId="1" applyNumberFormat="1" applyFont="1"/>
    <xf numFmtId="168" fontId="11" fillId="0" borderId="0" xfId="0" applyNumberFormat="1" applyFont="1" applyFill="1"/>
    <xf numFmtId="0" fontId="11" fillId="11" borderId="0" xfId="4" applyFont="1" applyFill="1"/>
    <xf numFmtId="165" fontId="6" fillId="11" borderId="0" xfId="2" applyNumberFormat="1" applyFont="1" applyFill="1"/>
    <xf numFmtId="0" fontId="11" fillId="11" borderId="0" xfId="4" applyFill="1"/>
    <xf numFmtId="2" fontId="11" fillId="11" borderId="0" xfId="4" applyNumberFormat="1" applyFill="1"/>
    <xf numFmtId="43" fontId="11" fillId="11" borderId="0" xfId="1" applyFont="1" applyFill="1"/>
    <xf numFmtId="175" fontId="22" fillId="2" borderId="0" xfId="1" applyNumberFormat="1" applyFont="1" applyFill="1"/>
    <xf numFmtId="43" fontId="6" fillId="2" borderId="0" xfId="1" applyFont="1" applyFill="1" applyBorder="1"/>
    <xf numFmtId="170" fontId="13" fillId="0" borderId="0" xfId="3" applyNumberFormat="1" applyFont="1"/>
    <xf numFmtId="43" fontId="13" fillId="0" borderId="0" xfId="0" applyNumberFormat="1" applyFont="1"/>
    <xf numFmtId="177" fontId="12" fillId="8" borderId="0" xfId="1" applyNumberFormat="1" applyFont="1" applyFill="1"/>
    <xf numFmtId="39" fontId="6" fillId="2" borderId="0" xfId="1" applyNumberFormat="1" applyFont="1" applyFill="1"/>
    <xf numFmtId="39" fontId="11" fillId="0" borderId="0" xfId="1" applyNumberFormat="1" applyFont="1" applyFill="1"/>
    <xf numFmtId="165" fontId="11" fillId="2" borderId="0" xfId="2" applyNumberFormat="1" applyFont="1" applyFill="1"/>
    <xf numFmtId="164" fontId="12" fillId="0" borderId="0" xfId="0" applyNumberFormat="1" applyFont="1"/>
    <xf numFmtId="185" fontId="12" fillId="0" borderId="0" xfId="0" applyNumberFormat="1" applyFont="1"/>
    <xf numFmtId="186" fontId="12" fillId="0" borderId="0" xfId="0" applyNumberFormat="1" applyFont="1"/>
    <xf numFmtId="0" fontId="12" fillId="0" borderId="0" xfId="0" applyFont="1" applyAlignment="1">
      <alignment wrapText="1"/>
    </xf>
    <xf numFmtId="43" fontId="11" fillId="2" borderId="0" xfId="1" applyNumberFormat="1" applyFont="1" applyFill="1"/>
    <xf numFmtId="177" fontId="12" fillId="0" borderId="0" xfId="3" applyNumberFormat="1" applyFont="1"/>
    <xf numFmtId="43" fontId="22" fillId="0" borderId="0" xfId="1" applyFont="1"/>
    <xf numFmtId="9" fontId="11" fillId="0" borderId="0" xfId="2" applyFont="1"/>
    <xf numFmtId="0" fontId="0" fillId="6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12" borderId="0" xfId="0" applyFill="1"/>
    <xf numFmtId="168" fontId="0" fillId="12" borderId="0" xfId="1" applyNumberFormat="1" applyFont="1" applyFill="1"/>
    <xf numFmtId="43" fontId="0" fillId="12" borderId="0" xfId="1" applyNumberFormat="1" applyFont="1" applyFill="1"/>
    <xf numFmtId="168" fontId="22" fillId="2" borderId="0" xfId="1" applyNumberFormat="1" applyFont="1" applyFill="1"/>
    <xf numFmtId="0" fontId="12" fillId="0" borderId="13" xfId="0" applyFont="1" applyBorder="1"/>
    <xf numFmtId="0" fontId="12" fillId="0" borderId="14" xfId="0" applyFont="1" applyBorder="1"/>
    <xf numFmtId="43" fontId="12" fillId="0" borderId="4" xfId="0" applyNumberFormat="1" applyFont="1" applyBorder="1"/>
    <xf numFmtId="43" fontId="12" fillId="0" borderId="5" xfId="0" applyNumberFormat="1" applyFont="1" applyBorder="1"/>
    <xf numFmtId="43" fontId="12" fillId="0" borderId="6" xfId="0" applyNumberFormat="1" applyFont="1" applyBorder="1"/>
    <xf numFmtId="43" fontId="12" fillId="0" borderId="9" xfId="0" applyNumberFormat="1" applyFont="1" applyBorder="1"/>
    <xf numFmtId="43" fontId="12" fillId="0" borderId="1" xfId="0" applyNumberFormat="1" applyFont="1" applyBorder="1"/>
    <xf numFmtId="43" fontId="12" fillId="0" borderId="10" xfId="0" applyNumberFormat="1" applyFont="1" applyBorder="1"/>
    <xf numFmtId="0" fontId="12" fillId="0" borderId="13" xfId="0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43" fontId="12" fillId="0" borderId="7" xfId="0" applyNumberFormat="1" applyFont="1" applyBorder="1"/>
    <xf numFmtId="43" fontId="12" fillId="0" borderId="0" xfId="0" applyNumberFormat="1" applyFont="1" applyBorder="1"/>
    <xf numFmtId="43" fontId="12" fillId="0" borderId="8" xfId="0" applyNumberFormat="1" applyFont="1" applyBorder="1"/>
    <xf numFmtId="43" fontId="12" fillId="0" borderId="0" xfId="0" applyNumberFormat="1" applyFont="1" applyFill="1" applyBorder="1"/>
    <xf numFmtId="43" fontId="12" fillId="0" borderId="8" xfId="0" applyNumberFormat="1" applyFont="1" applyFill="1" applyBorder="1"/>
    <xf numFmtId="43" fontId="12" fillId="0" borderId="1" xfId="1" applyFont="1" applyBorder="1"/>
    <xf numFmtId="0" fontId="12" fillId="0" borderId="10" xfId="0" applyFont="1" applyBorder="1"/>
    <xf numFmtId="9" fontId="11" fillId="5" borderId="0" xfId="2" applyFont="1" applyFill="1"/>
    <xf numFmtId="165" fontId="11" fillId="5" borderId="0" xfId="2" applyNumberFormat="1" applyFont="1" applyFill="1"/>
    <xf numFmtId="39" fontId="11" fillId="5" borderId="0" xfId="1" applyNumberFormat="1" applyFont="1" applyFill="1"/>
    <xf numFmtId="43" fontId="11" fillId="5" borderId="0" xfId="1" applyNumberFormat="1" applyFont="1" applyFill="1"/>
    <xf numFmtId="10" fontId="11" fillId="5" borderId="0" xfId="2" applyNumberFormat="1" applyFont="1" applyFill="1"/>
    <xf numFmtId="39" fontId="12" fillId="5" borderId="0" xfId="0" applyNumberFormat="1" applyFont="1" applyFill="1"/>
    <xf numFmtId="39" fontId="12" fillId="0" borderId="0" xfId="0" applyNumberFormat="1" applyFont="1" applyFill="1"/>
    <xf numFmtId="165" fontId="12" fillId="0" borderId="0" xfId="0" applyNumberFormat="1" applyFont="1" applyAlignment="1">
      <alignment horizontal="center"/>
    </xf>
    <xf numFmtId="43" fontId="12" fillId="0" borderId="4" xfId="1" applyFont="1" applyBorder="1"/>
    <xf numFmtId="43" fontId="12" fillId="0" borderId="5" xfId="1" applyFont="1" applyBorder="1"/>
    <xf numFmtId="43" fontId="12" fillId="0" borderId="6" xfId="1" applyFont="1" applyBorder="1"/>
    <xf numFmtId="164" fontId="6" fillId="2" borderId="12" xfId="0" applyNumberFormat="1" applyFont="1" applyFill="1" applyBorder="1"/>
    <xf numFmtId="165" fontId="6" fillId="2" borderId="12" xfId="2" applyNumberFormat="1" applyFont="1" applyFill="1" applyBorder="1"/>
    <xf numFmtId="43" fontId="6" fillId="2" borderId="12" xfId="1" applyNumberFormat="1" applyFont="1" applyFill="1" applyBorder="1"/>
    <xf numFmtId="43" fontId="12" fillId="0" borderId="0" xfId="1" applyFont="1" applyBorder="1"/>
    <xf numFmtId="43" fontId="12" fillId="0" borderId="8" xfId="1" applyFont="1" applyBorder="1"/>
    <xf numFmtId="43" fontId="12" fillId="0" borderId="10" xfId="1" applyFont="1" applyBorder="1"/>
    <xf numFmtId="187" fontId="12" fillId="0" borderId="0" xfId="3" applyNumberFormat="1" applyFont="1"/>
    <xf numFmtId="171" fontId="12" fillId="0" borderId="0" xfId="0" applyNumberFormat="1" applyFont="1"/>
    <xf numFmtId="177" fontId="13" fillId="0" borderId="0" xfId="0" applyNumberFormat="1" applyFont="1"/>
    <xf numFmtId="0" fontId="23" fillId="0" borderId="0" xfId="0" applyFont="1" applyBorder="1"/>
    <xf numFmtId="0" fontId="0" fillId="0" borderId="0" xfId="0" quotePrefix="1" applyBorder="1" applyAlignment="1">
      <alignment horizontal="center" vertical="top"/>
    </xf>
    <xf numFmtId="0" fontId="0" fillId="0" borderId="0" xfId="0" applyBorder="1" applyAlignment="1"/>
    <xf numFmtId="0" fontId="13" fillId="0" borderId="1" xfId="0" applyFont="1" applyFill="1" applyBorder="1"/>
    <xf numFmtId="0" fontId="12" fillId="0" borderId="9" xfId="0" applyFont="1" applyBorder="1"/>
    <xf numFmtId="43" fontId="12" fillId="0" borderId="1" xfId="1" applyNumberFormat="1" applyFont="1" applyBorder="1"/>
    <xf numFmtId="43" fontId="12" fillId="0" borderId="10" xfId="1" applyNumberFormat="1" applyFont="1" applyBorder="1"/>
    <xf numFmtId="0" fontId="20" fillId="0" borderId="1" xfId="8" applyFill="1" applyBorder="1"/>
    <xf numFmtId="0" fontId="11" fillId="0" borderId="1" xfId="4" applyBorder="1"/>
    <xf numFmtId="168" fontId="11" fillId="0" borderId="0" xfId="1" applyNumberFormat="1" applyFont="1" applyFill="1" applyAlignment="1">
      <alignment horizontal="right"/>
    </xf>
  </cellXfs>
  <cellStyles count="9">
    <cellStyle name="Comma" xfId="1" builtinId="3"/>
    <cellStyle name="Comma [0]" xfId="3" builtinId="6"/>
    <cellStyle name="Hyperlink" xfId="8" builtinId="8"/>
    <cellStyle name="Hyperlink 4" xfId="5"/>
    <cellStyle name="Normal" xfId="0" builtinId="0"/>
    <cellStyle name="Normal 3" xfId="4"/>
    <cellStyle name="Normal_Sheet1_1" xfId="7"/>
    <cellStyle name="Percent" xfId="2" builtinId="5"/>
    <cellStyle name="Percent 3" xfId="6"/>
  </cellStyles>
  <dxfs count="0"/>
  <tableStyles count="0" defaultTableStyle="TableStyleMedium2" defaultPivotStyle="PivotStyleLight16"/>
  <colors>
    <mruColors>
      <color rgb="FF0000FF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'Susitna rate analysis'!$F$44:$R$44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'Susitna rate analysis'!$F$52:$Q$52</c:f>
              <c:numCache>
                <c:formatCode>_(* #,##0.000_);_(* \(#,##0.000\);_(* "-"??_);_(@_)</c:formatCode>
                <c:ptCount val="12"/>
                <c:pt idx="0">
                  <c:v>9.1229090909090926E-2</c:v>
                </c:pt>
                <c:pt idx="1">
                  <c:v>3.1278545454545455E-2</c:v>
                </c:pt>
                <c:pt idx="2">
                  <c:v>4.0401454545454546E-2</c:v>
                </c:pt>
                <c:pt idx="3">
                  <c:v>4.0401454545454546E-2</c:v>
                </c:pt>
                <c:pt idx="4">
                  <c:v>0.44962909090909092</c:v>
                </c:pt>
                <c:pt idx="5">
                  <c:v>0.44962909090909092</c:v>
                </c:pt>
                <c:pt idx="6">
                  <c:v>0.57539490909090907</c:v>
                </c:pt>
                <c:pt idx="7">
                  <c:v>0.64642327272727274</c:v>
                </c:pt>
                <c:pt idx="8">
                  <c:v>0.64642327272727274</c:v>
                </c:pt>
                <c:pt idx="9">
                  <c:v>0.5030632727272728</c:v>
                </c:pt>
                <c:pt idx="10">
                  <c:v>0.5030632727272728</c:v>
                </c:pt>
                <c:pt idx="11">
                  <c:v>0.5030632727272728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76400"/>
        <c:axId val="185972088"/>
      </c:barChart>
      <c:catAx>
        <c:axId val="18597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72088"/>
        <c:crosses val="autoZero"/>
        <c:auto val="1"/>
        <c:lblAlgn val="ctr"/>
        <c:lblOffset val="100"/>
        <c:noMultiLvlLbl val="0"/>
      </c:catAx>
      <c:valAx>
        <c:axId val="185972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2012  $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597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48073946378"/>
          <c:y val="5.1400554097404488E-2"/>
          <c:w val="0.71870350525710924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'Susitna rate analysis'!$C$241</c:f>
              <c:strCache>
                <c:ptCount val="1"/>
                <c:pt idx="0">
                  <c:v>Case 2 LNG Imports pegged to AEO Brent</c:v>
                </c:pt>
              </c:strCache>
            </c:strRef>
          </c:tx>
          <c:marker>
            <c:symbol val="none"/>
          </c:marker>
          <c:cat>
            <c:numRef>
              <c:f>'Susitna rate analysis'!$F$218:$AU$218</c:f>
              <c:numCache>
                <c:formatCode>General</c:formatCode>
                <c:ptCount val="4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</c:numCache>
            </c:numRef>
          </c:cat>
          <c:val>
            <c:numRef>
              <c:f>'Susitna rate analysis'!$F$241:$AU$241</c:f>
              <c:numCache>
                <c:formatCode>_(* #,##0.00_);_(* \(#,##0.00\);_(* "-"??_);_(@_)</c:formatCode>
                <c:ptCount val="42"/>
                <c:pt idx="0">
                  <c:v>19.259889999999999</c:v>
                </c:pt>
                <c:pt idx="1">
                  <c:v>17.419795000000001</c:v>
                </c:pt>
                <c:pt idx="2">
                  <c:v>17.450695</c:v>
                </c:pt>
                <c:pt idx="3">
                  <c:v>17.279199999999999</c:v>
                </c:pt>
                <c:pt idx="4">
                  <c:v>17.450695</c:v>
                </c:pt>
                <c:pt idx="5">
                  <c:v>17.776689999999999</c:v>
                </c:pt>
                <c:pt idx="6">
                  <c:v>18.110410000000002</c:v>
                </c:pt>
                <c:pt idx="7">
                  <c:v>18.451854999999998</c:v>
                </c:pt>
                <c:pt idx="8">
                  <c:v>18.799479999999999</c:v>
                </c:pt>
                <c:pt idx="9">
                  <c:v>19.154829999999997</c:v>
                </c:pt>
                <c:pt idx="10">
                  <c:v>19.516359999999999</c:v>
                </c:pt>
                <c:pt idx="11">
                  <c:v>19.887159999999998</c:v>
                </c:pt>
                <c:pt idx="12">
                  <c:v>20.265685000000001</c:v>
                </c:pt>
                <c:pt idx="13">
                  <c:v>20.651935000000002</c:v>
                </c:pt>
                <c:pt idx="14">
                  <c:v>21.047454999999999</c:v>
                </c:pt>
                <c:pt idx="15">
                  <c:v>21.450699999999998</c:v>
                </c:pt>
                <c:pt idx="16">
                  <c:v>21.863214999999997</c:v>
                </c:pt>
                <c:pt idx="17">
                  <c:v>22.283455</c:v>
                </c:pt>
                <c:pt idx="18">
                  <c:v>22.712965000000001</c:v>
                </c:pt>
                <c:pt idx="19">
                  <c:v>23.151745000000002</c:v>
                </c:pt>
                <c:pt idx="20">
                  <c:v>23.60134</c:v>
                </c:pt>
                <c:pt idx="21">
                  <c:v>24.058659999999996</c:v>
                </c:pt>
                <c:pt idx="22">
                  <c:v>24.554604999999999</c:v>
                </c:pt>
                <c:pt idx="23">
                  <c:v>25.062909999999999</c:v>
                </c:pt>
                <c:pt idx="24">
                  <c:v>25.58203</c:v>
                </c:pt>
                <c:pt idx="25">
                  <c:v>26.111965000000001</c:v>
                </c:pt>
                <c:pt idx="26">
                  <c:v>26.654260000000001</c:v>
                </c:pt>
                <c:pt idx="27">
                  <c:v>27.210459999999998</c:v>
                </c:pt>
                <c:pt idx="28">
                  <c:v>27.777474999999999</c:v>
                </c:pt>
                <c:pt idx="29">
                  <c:v>27.777474999999999</c:v>
                </c:pt>
                <c:pt idx="30">
                  <c:v>27.777474999999999</c:v>
                </c:pt>
                <c:pt idx="31">
                  <c:v>27.777474999999999</c:v>
                </c:pt>
                <c:pt idx="32">
                  <c:v>27.777474999999999</c:v>
                </c:pt>
                <c:pt idx="33">
                  <c:v>27.777474999999999</c:v>
                </c:pt>
                <c:pt idx="34">
                  <c:v>27.777474999999999</c:v>
                </c:pt>
                <c:pt idx="35">
                  <c:v>27.777474999999999</c:v>
                </c:pt>
                <c:pt idx="36">
                  <c:v>27.777474999999999</c:v>
                </c:pt>
                <c:pt idx="37">
                  <c:v>27.777474999999999</c:v>
                </c:pt>
                <c:pt idx="38">
                  <c:v>27.777474999999999</c:v>
                </c:pt>
                <c:pt idx="39">
                  <c:v>27.777474999999999</c:v>
                </c:pt>
                <c:pt idx="40">
                  <c:v>27.777474999999999</c:v>
                </c:pt>
                <c:pt idx="41">
                  <c:v>27.777474999999999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'Susitna rate analysis'!$C$240</c:f>
              <c:strCache>
                <c:ptCount val="1"/>
                <c:pt idx="0">
                  <c:v>Case 1 Railbelt IRP</c:v>
                </c:pt>
              </c:strCache>
            </c:strRef>
          </c:tx>
          <c:marker>
            <c:symbol val="none"/>
          </c:marker>
          <c:cat>
            <c:numRef>
              <c:f>'Susitna rate analysis'!$F$218:$AU$218</c:f>
              <c:numCache>
                <c:formatCode>General</c:formatCode>
                <c:ptCount val="4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</c:numCache>
            </c:numRef>
          </c:cat>
          <c:val>
            <c:numRef>
              <c:f>'Susitna rate analysis'!$F$240:$AU$240</c:f>
              <c:numCache>
                <c:formatCode>_(* #,##0.00_);_(* \(#,##0.00\);_(* "-"??_);_(@_)</c:formatCode>
                <c:ptCount val="42"/>
                <c:pt idx="0">
                  <c:v>6.62</c:v>
                </c:pt>
                <c:pt idx="1">
                  <c:v>6.946341463414635</c:v>
                </c:pt>
                <c:pt idx="2">
                  <c:v>7.0624628197501496</c:v>
                </c:pt>
                <c:pt idx="3">
                  <c:v>7.1502154640820663</c:v>
                </c:pt>
                <c:pt idx="4">
                  <c:v>7.2929026906380283</c:v>
                </c:pt>
                <c:pt idx="5">
                  <c:v>7.1415426438848986</c:v>
                </c:pt>
                <c:pt idx="6">
                  <c:v>7.1139491441741631</c:v>
                </c:pt>
                <c:pt idx="7">
                  <c:v>7.5966250728032758</c:v>
                </c:pt>
                <c:pt idx="8">
                  <c:v>8.6999136506187753</c:v>
                </c:pt>
                <c:pt idx="9">
                  <c:v>8.976164935429038</c:v>
                </c:pt>
                <c:pt idx="10">
                  <c:v>9.2103291563463241</c:v>
                </c:pt>
                <c:pt idx="11">
                  <c:v>9.4734596423910151</c:v>
                </c:pt>
                <c:pt idx="12">
                  <c:v>9.495208652028591</c:v>
                </c:pt>
                <c:pt idx="13">
                  <c:v>9.4739901060407146</c:v>
                </c:pt>
                <c:pt idx="14">
                  <c:v>9.3632307999042812</c:v>
                </c:pt>
                <c:pt idx="15">
                  <c:v>9.1831919059585161</c:v>
                </c:pt>
                <c:pt idx="16">
                  <c:v>9.0737278542645328</c:v>
                </c:pt>
                <c:pt idx="17">
                  <c:v>8.8918491222191403</c:v>
                </c:pt>
                <c:pt idx="18">
                  <c:v>8.7070330488515815</c:v>
                </c:pt>
                <c:pt idx="19">
                  <c:v>8.5822402694237372</c:v>
                </c:pt>
                <c:pt idx="20">
                  <c:v>8.4949715245949253</c:v>
                </c:pt>
                <c:pt idx="21">
                  <c:v>8.3354080000230564</c:v>
                </c:pt>
                <c:pt idx="22">
                  <c:v>8.1785745393954468</c:v>
                </c:pt>
                <c:pt idx="23">
                  <c:v>8.0527677525505332</c:v>
                </c:pt>
                <c:pt idx="24">
                  <c:v>7.8010712475575792</c:v>
                </c:pt>
                <c:pt idx="25">
                  <c:v>7.5137109110284754</c:v>
                </c:pt>
                <c:pt idx="26">
                  <c:v>7.2830885443688205</c:v>
                </c:pt>
                <c:pt idx="27">
                  <c:v>6.9771023063564277</c:v>
                </c:pt>
                <c:pt idx="28">
                  <c:v>6.9672099701299679</c:v>
                </c:pt>
                <c:pt idx="29">
                  <c:v>6.8217110822545193</c:v>
                </c:pt>
                <c:pt idx="30">
                  <c:v>6.7554438490143633</c:v>
                </c:pt>
                <c:pt idx="31">
                  <c:v>6.6511418517930645</c:v>
                </c:pt>
                <c:pt idx="32">
                  <c:v>6.6205123395982142</c:v>
                </c:pt>
                <c:pt idx="33">
                  <c:v>6.5210148456030161</c:v>
                </c:pt>
                <c:pt idx="34">
                  <c:v>6.4526658250664193</c:v>
                </c:pt>
                <c:pt idx="35">
                  <c:v>6.3500619704019954</c:v>
                </c:pt>
                <c:pt idx="36">
                  <c:v>6.3185105271386321</c:v>
                </c:pt>
                <c:pt idx="37">
                  <c:v>6.2165392304075926</c:v>
                </c:pt>
                <c:pt idx="38">
                  <c:v>6.1196962117120215</c:v>
                </c:pt>
                <c:pt idx="39">
                  <c:v>6.0200617091072663</c:v>
                </c:pt>
                <c:pt idx="40">
                  <c:v>5.9886844290607257</c:v>
                </c:pt>
                <c:pt idx="41">
                  <c:v>5.8898540586745778</c:v>
                </c:pt>
              </c:numCache>
            </c:numRef>
          </c:val>
          <c:smooth val="0"/>
        </c:ser>
        <c:ser>
          <c:idx val="1"/>
          <c:order val="2"/>
          <c:tx>
            <c:v>AEO 2013 Henry Hub</c:v>
          </c:tx>
          <c:marker>
            <c:symbol val="none"/>
          </c:marker>
          <c:val>
            <c:numRef>
              <c:f>'AEO2013 projections'!$E$57:$AG$57</c:f>
              <c:numCache>
                <c:formatCode>0.00</c:formatCode>
                <c:ptCount val="29"/>
                <c:pt idx="0">
                  <c:v>2.6184319999999999</c:v>
                </c:pt>
                <c:pt idx="1">
                  <c:v>3.2508349999999999</c:v>
                </c:pt>
                <c:pt idx="2">
                  <c:v>3.1220560000000002</c:v>
                </c:pt>
                <c:pt idx="3">
                  <c:v>3.1183209999999999</c:v>
                </c:pt>
                <c:pt idx="4">
                  <c:v>3.5657869999999998</c:v>
                </c:pt>
                <c:pt idx="5">
                  <c:v>3.6971240000000001</c:v>
                </c:pt>
                <c:pt idx="6">
                  <c:v>3.957792</c:v>
                </c:pt>
                <c:pt idx="7">
                  <c:v>4.0465479999999996</c:v>
                </c:pt>
                <c:pt idx="8">
                  <c:v>4.1338720000000002</c:v>
                </c:pt>
                <c:pt idx="9">
                  <c:v>4.2581110000000004</c:v>
                </c:pt>
                <c:pt idx="10">
                  <c:v>4.4766719999999998</c:v>
                </c:pt>
                <c:pt idx="11">
                  <c:v>4.6741659999999996</c:v>
                </c:pt>
                <c:pt idx="12">
                  <c:v>4.7869960000000003</c:v>
                </c:pt>
                <c:pt idx="13">
                  <c:v>4.8705930000000004</c:v>
                </c:pt>
                <c:pt idx="14">
                  <c:v>5.0201380000000002</c:v>
                </c:pt>
                <c:pt idx="15">
                  <c:v>5.0939930000000002</c:v>
                </c:pt>
                <c:pt idx="16">
                  <c:v>5.219322</c:v>
                </c:pt>
                <c:pt idx="17">
                  <c:v>5.2987909999999996</c:v>
                </c:pt>
                <c:pt idx="18">
                  <c:v>5.3976699999999997</c:v>
                </c:pt>
                <c:pt idx="19">
                  <c:v>5.5349469999999998</c:v>
                </c:pt>
                <c:pt idx="20">
                  <c:v>5.6305300000000003</c:v>
                </c:pt>
                <c:pt idx="21">
                  <c:v>5.7722819999999997</c:v>
                </c:pt>
                <c:pt idx="22">
                  <c:v>6.0361649999999996</c:v>
                </c:pt>
                <c:pt idx="23">
                  <c:v>6.3219149999999997</c:v>
                </c:pt>
                <c:pt idx="24">
                  <c:v>6.6940780000000002</c:v>
                </c:pt>
                <c:pt idx="25">
                  <c:v>7.0389290000000004</c:v>
                </c:pt>
                <c:pt idx="26">
                  <c:v>7.4209779999999999</c:v>
                </c:pt>
                <c:pt idx="27">
                  <c:v>7.5890389999999996</c:v>
                </c:pt>
                <c:pt idx="28">
                  <c:v>7.828633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0128"/>
        <c:axId val="185970912"/>
      </c:lineChart>
      <c:catAx>
        <c:axId val="18597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70912"/>
        <c:crosses val="autoZero"/>
        <c:auto val="1"/>
        <c:lblAlgn val="ctr"/>
        <c:lblOffset val="100"/>
        <c:noMultiLvlLbl val="0"/>
      </c:catAx>
      <c:valAx>
        <c:axId val="18597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$2012 per million btu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8597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36143337112447"/>
          <c:y val="0.22348753280839892"/>
          <c:w val="0.29596401041585779"/>
          <c:h val="0.3956174002839809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15660542432194"/>
          <c:y val="0.23959794768061052"/>
          <c:w val="0.63651706036745404"/>
          <c:h val="0.6997161887190532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chemeClr val="accent2"/>
            </a:solidFill>
          </c:spPr>
          <c:invertIfNegative val="0"/>
          <c:cat>
            <c:strRef>
              <c:f>tornado!$B$41:$B$43</c:f>
              <c:strCache>
                <c:ptCount val="3"/>
                <c:pt idx="0">
                  <c:v>Capital  cost
 reference = 5.19 billion</c:v>
                </c:pt>
                <c:pt idx="1">
                  <c:v>Interest rate
 during / after const.
reference = 2% / 5%</c:v>
                </c:pt>
                <c:pt idx="2">
                  <c:v>Debt svc coverage
reference = 1.00</c:v>
                </c:pt>
              </c:strCache>
            </c:strRef>
          </c:cat>
          <c:val>
            <c:numRef>
              <c:f>tornado!$F$41:$F$43</c:f>
              <c:numCache>
                <c:formatCode>#,##0.000_);\(#,##0.000\)</c:formatCode>
                <c:ptCount val="3"/>
                <c:pt idx="0">
                  <c:v>0.13924664296027167</c:v>
                </c:pt>
                <c:pt idx="1">
                  <c:v>0.17043300040475232</c:v>
                </c:pt>
                <c:pt idx="2">
                  <c:v>0.16331741278775269</c:v>
                </c:pt>
              </c:numCache>
            </c:numRef>
          </c:val>
        </c:ser>
        <c:ser>
          <c:idx val="3"/>
          <c:order val="3"/>
          <c:tx>
            <c:v>Low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tornado!$B$41:$B$43</c:f>
              <c:strCache>
                <c:ptCount val="3"/>
                <c:pt idx="0">
                  <c:v>Capital  cost
 reference = 5.19 billion</c:v>
                </c:pt>
                <c:pt idx="1">
                  <c:v>Interest rate
 during / after const.
reference = 2% / 5%</c:v>
                </c:pt>
                <c:pt idx="2">
                  <c:v>Debt svc coverage
reference = 1.00</c:v>
                </c:pt>
              </c:strCache>
            </c:strRef>
          </c:cat>
          <c:val>
            <c:numRef>
              <c:f>tornado!$E$41:$E$42</c:f>
              <c:numCache>
                <c:formatCode>#,##0.000_);\(#,##0.000\)</c:formatCode>
                <c:ptCount val="2"/>
                <c:pt idx="0">
                  <c:v>0.11487423441314802</c:v>
                </c:pt>
                <c:pt idx="1">
                  <c:v>0.11702347656512201</c:v>
                </c:pt>
              </c:numCache>
            </c:numRef>
          </c:val>
        </c:ser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5.5 billion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  <a:r>
                      <a:rPr lang="en-US" baseline="0"/>
                      <a:t> / 6%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1.25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tornado!$B$41:$B$43</c:f>
              <c:strCache>
                <c:ptCount val="3"/>
                <c:pt idx="0">
                  <c:v>Capital  cost
 reference = 5.19 billion</c:v>
                </c:pt>
                <c:pt idx="1">
                  <c:v>Interest rate
 during / after const.
reference = 2% / 5%</c:v>
                </c:pt>
                <c:pt idx="2">
                  <c:v>Debt svc coverage
reference = 1.00</c:v>
                </c:pt>
              </c:strCache>
            </c:strRef>
          </c:cat>
          <c:val>
            <c:numRef>
              <c:f>tornado!$F$41:$F$43</c:f>
              <c:numCache>
                <c:formatCode>#,##0.000_);\(#,##0.000\)</c:formatCode>
                <c:ptCount val="3"/>
                <c:pt idx="0">
                  <c:v>0.13924664296027167</c:v>
                </c:pt>
                <c:pt idx="1">
                  <c:v>0.17043300040475232</c:v>
                </c:pt>
                <c:pt idx="2">
                  <c:v>0.16331741278775269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779965004374454E-3"/>
                  <c:y val="3.2032337208913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4.5 billion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2% / 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tornado!$B$41:$B$43</c:f>
              <c:strCache>
                <c:ptCount val="3"/>
                <c:pt idx="0">
                  <c:v>Capital  cost
 reference = 5.19 billion</c:v>
                </c:pt>
                <c:pt idx="1">
                  <c:v>Interest rate
 during / after const.
reference = 2% / 5%</c:v>
                </c:pt>
                <c:pt idx="2">
                  <c:v>Debt svc coverage
reference = 1.00</c:v>
                </c:pt>
              </c:strCache>
            </c:strRef>
          </c:cat>
          <c:val>
            <c:numRef>
              <c:f>tornado!$E$41:$E$42</c:f>
              <c:numCache>
                <c:formatCode>#,##0.000_);\(#,##0.000\)</c:formatCode>
                <c:ptCount val="2"/>
                <c:pt idx="0">
                  <c:v>0.11487423441314802</c:v>
                </c:pt>
                <c:pt idx="1">
                  <c:v>0.11702347656512201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85973264"/>
        <c:axId val="185974440"/>
      </c:barChart>
      <c:catAx>
        <c:axId val="18597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185974440"/>
        <c:crossesAt val="0.13400000000000001"/>
        <c:auto val="1"/>
        <c:lblAlgn val="ctr"/>
        <c:lblOffset val="100"/>
        <c:noMultiLvlLbl val="0"/>
      </c:catAx>
      <c:valAx>
        <c:axId val="185974440"/>
        <c:scaling>
          <c:orientation val="minMax"/>
          <c:min val="0.1"/>
        </c:scaling>
        <c:delete val="0"/>
        <c:axPos val="t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Production cost in year 2024, 2012$</a:t>
                </a:r>
                <a:r>
                  <a:rPr lang="en-US" baseline="0"/>
                  <a:t> per </a:t>
                </a:r>
                <a:r>
                  <a:rPr lang="en-US"/>
                  <a:t>kWh</a:t>
                </a:r>
              </a:p>
              <a:p>
                <a:pPr>
                  <a:defRPr/>
                </a:pPr>
                <a:r>
                  <a:rPr lang="en-US"/>
                  <a:t>reference</a:t>
                </a:r>
                <a:r>
                  <a:rPr lang="en-US" baseline="0"/>
                  <a:t> case cost = 0.134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869969378827648"/>
              <c:y val="3.2032021933107301E-2"/>
            </c:manualLayout>
          </c:layout>
          <c:overlay val="0"/>
        </c:title>
        <c:numFmt formatCode="#,##0.00_);\(#,##0.00\)" sourceLinked="0"/>
        <c:majorTickMark val="out"/>
        <c:minorTickMark val="none"/>
        <c:tickLblPos val="low"/>
        <c:crossAx val="18597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4418197725285"/>
          <c:y val="6.0176258455497941E-2"/>
          <c:w val="0.7427876202974627"/>
          <c:h val="0.76027569724516142"/>
        </c:manualLayout>
      </c:layout>
      <c:lineChart>
        <c:grouping val="standard"/>
        <c:varyColors val="0"/>
        <c:ser>
          <c:idx val="0"/>
          <c:order val="0"/>
          <c:tx>
            <c:strRef>
              <c:f>graphs!$C$17</c:f>
              <c:strCache>
                <c:ptCount val="1"/>
                <c:pt idx="0">
                  <c:v>Production cost</c:v>
                </c:pt>
              </c:strCache>
            </c:strRef>
          </c:tx>
          <c:marker>
            <c:symbol val="none"/>
          </c:marker>
          <c:cat>
            <c:numRef>
              <c:f>graphs!$D$15:$BA$15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graphs!$D$17:$BA$17</c:f>
              <c:numCache>
                <c:formatCode>_(* #,##0.00_);_(* \(#,##0.00\);_(* "-"??_);_(@_)</c:formatCode>
                <c:ptCount val="50"/>
                <c:pt idx="0">
                  <c:v>0.13200731368884877</c:v>
                </c:pt>
                <c:pt idx="1">
                  <c:v>0.12895266987432155</c:v>
                </c:pt>
                <c:pt idx="2">
                  <c:v>0.12597252956746577</c:v>
                </c:pt>
                <c:pt idx="3">
                  <c:v>0.12306507560955768</c:v>
                </c:pt>
                <c:pt idx="4">
                  <c:v>0.12022853516281805</c:v>
                </c:pt>
                <c:pt idx="5">
                  <c:v>0.11746117862941353</c:v>
                </c:pt>
                <c:pt idx="6">
                  <c:v>0.1147613185968238</c:v>
                </c:pt>
                <c:pt idx="7">
                  <c:v>0.11212730880893135</c:v>
                </c:pt>
                <c:pt idx="8">
                  <c:v>0.10955754316220702</c:v>
                </c:pt>
                <c:pt idx="9">
                  <c:v>0.10705045472637839</c:v>
                </c:pt>
                <c:pt idx="10">
                  <c:v>0.10460451478898462</c:v>
                </c:pt>
                <c:pt idx="11">
                  <c:v>0.10221823192323458</c:v>
                </c:pt>
                <c:pt idx="12">
                  <c:v>9.98901510786004E-2</c:v>
                </c:pt>
                <c:pt idx="13">
                  <c:v>9.7618852693591454E-2</c:v>
                </c:pt>
                <c:pt idx="14">
                  <c:v>9.5402951830168073E-2</c:v>
                </c:pt>
                <c:pt idx="15">
                  <c:v>9.3241097329267247E-2</c:v>
                </c:pt>
                <c:pt idx="16">
                  <c:v>9.1131970986924937E-2</c:v>
                </c:pt>
                <c:pt idx="17">
                  <c:v>8.9074286750493448E-2</c:v>
                </c:pt>
                <c:pt idx="18">
                  <c:v>8.7066789934462707E-2</c:v>
                </c:pt>
                <c:pt idx="19">
                  <c:v>8.5108256455408343E-2</c:v>
                </c:pt>
                <c:pt idx="20">
                  <c:v>8.3197492085599192E-2</c:v>
                </c:pt>
                <c:pt idx="21">
                  <c:v>8.1333331724809776E-2</c:v>
                </c:pt>
                <c:pt idx="22">
                  <c:v>7.9514638689893294E-2</c:v>
                </c:pt>
                <c:pt idx="23">
                  <c:v>7.7740304021682069E-2</c:v>
                </c:pt>
                <c:pt idx="24">
                  <c:v>7.6009245808793077E-2</c:v>
                </c:pt>
                <c:pt idx="25">
                  <c:v>7.4320408527925763E-2</c:v>
                </c:pt>
                <c:pt idx="26">
                  <c:v>7.2672762400250335E-2</c:v>
                </c:pt>
                <c:pt idx="27">
                  <c:v>7.1065302763493821E-2</c:v>
                </c:pt>
                <c:pt idx="28">
                  <c:v>6.9497049459341126E-2</c:v>
                </c:pt>
                <c:pt idx="29">
                  <c:v>6.513763666839309E-2</c:v>
                </c:pt>
                <c:pt idx="30">
                  <c:v>6.7669172932330827E-3</c:v>
                </c:pt>
                <c:pt idx="31">
                  <c:v>6.7669172932330827E-3</c:v>
                </c:pt>
                <c:pt idx="32">
                  <c:v>6.7669172932330827E-3</c:v>
                </c:pt>
                <c:pt idx="33">
                  <c:v>6.7669172932330827E-3</c:v>
                </c:pt>
                <c:pt idx="34">
                  <c:v>6.7669172932330827E-3</c:v>
                </c:pt>
                <c:pt idx="35">
                  <c:v>6.7669172932330827E-3</c:v>
                </c:pt>
                <c:pt idx="36">
                  <c:v>6.7669172932330827E-3</c:v>
                </c:pt>
                <c:pt idx="37">
                  <c:v>6.7669172932330827E-3</c:v>
                </c:pt>
                <c:pt idx="38">
                  <c:v>6.7669172932330827E-3</c:v>
                </c:pt>
                <c:pt idx="39">
                  <c:v>6.7669172932330827E-3</c:v>
                </c:pt>
                <c:pt idx="40">
                  <c:v>6.7669172932330827E-3</c:v>
                </c:pt>
                <c:pt idx="41">
                  <c:v>6.7669172932330827E-3</c:v>
                </c:pt>
                <c:pt idx="42">
                  <c:v>6.7669172932330827E-3</c:v>
                </c:pt>
                <c:pt idx="43">
                  <c:v>6.7669172932330827E-3</c:v>
                </c:pt>
                <c:pt idx="44">
                  <c:v>6.7669172932330827E-3</c:v>
                </c:pt>
                <c:pt idx="45">
                  <c:v>6.7669172932330827E-3</c:v>
                </c:pt>
                <c:pt idx="46">
                  <c:v>6.7669172932330827E-3</c:v>
                </c:pt>
                <c:pt idx="47">
                  <c:v>6.7669172932330827E-3</c:v>
                </c:pt>
                <c:pt idx="48">
                  <c:v>6.7669172932330827E-3</c:v>
                </c:pt>
                <c:pt idx="49">
                  <c:v>6.7669172932330827E-3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graphs!$C$18</c:f>
              <c:strCache>
                <c:ptCount val="1"/>
                <c:pt idx="0">
                  <c:v>Retail revenue req't</c:v>
                </c:pt>
              </c:strCache>
            </c:strRef>
          </c:tx>
          <c:marker>
            <c:symbol val="none"/>
          </c:marker>
          <c:val>
            <c:numRef>
              <c:f>graphs!$D$18:$BA$18</c:f>
              <c:numCache>
                <c:formatCode>_(* #,##0.00_);_(* \(#,##0.00\);_(* "-"??_);_(@_)</c:formatCode>
                <c:ptCount val="50"/>
                <c:pt idx="0">
                  <c:v>0.18000731368884876</c:v>
                </c:pt>
                <c:pt idx="1">
                  <c:v>0.17695266987432157</c:v>
                </c:pt>
                <c:pt idx="2">
                  <c:v>0.17397252956746578</c:v>
                </c:pt>
                <c:pt idx="3">
                  <c:v>0.17106507560955769</c:v>
                </c:pt>
                <c:pt idx="4">
                  <c:v>0.16822853516281805</c:v>
                </c:pt>
                <c:pt idx="5">
                  <c:v>0.16546117862941354</c:v>
                </c:pt>
                <c:pt idx="6">
                  <c:v>0.1627613185968238</c:v>
                </c:pt>
                <c:pt idx="7">
                  <c:v>0.16012730880893133</c:v>
                </c:pt>
                <c:pt idx="8">
                  <c:v>0.15755754316220702</c:v>
                </c:pt>
                <c:pt idx="9">
                  <c:v>0.15505045472637841</c:v>
                </c:pt>
                <c:pt idx="10">
                  <c:v>0.15260451478898462</c:v>
                </c:pt>
                <c:pt idx="11">
                  <c:v>0.15021823192323458</c:v>
                </c:pt>
                <c:pt idx="12">
                  <c:v>0.1478901510786004</c:v>
                </c:pt>
                <c:pt idx="13">
                  <c:v>0.14561885269359146</c:v>
                </c:pt>
                <c:pt idx="14">
                  <c:v>0.14340295183016807</c:v>
                </c:pt>
                <c:pt idx="15">
                  <c:v>0.14124109732926726</c:v>
                </c:pt>
                <c:pt idx="16">
                  <c:v>0.13913197098692492</c:v>
                </c:pt>
                <c:pt idx="17">
                  <c:v>0.13707428675049343</c:v>
                </c:pt>
                <c:pt idx="18">
                  <c:v>0.13506678993446269</c:v>
                </c:pt>
                <c:pt idx="19">
                  <c:v>0.13310825645540836</c:v>
                </c:pt>
                <c:pt idx="20">
                  <c:v>0.13119749208559919</c:v>
                </c:pt>
                <c:pt idx="21">
                  <c:v>0.12933333172480976</c:v>
                </c:pt>
                <c:pt idx="22">
                  <c:v>0.12751463868989329</c:v>
                </c:pt>
                <c:pt idx="23">
                  <c:v>0.12574030402168207</c:v>
                </c:pt>
                <c:pt idx="24">
                  <c:v>0.12400924580879308</c:v>
                </c:pt>
                <c:pt idx="25">
                  <c:v>0.12232040852792576</c:v>
                </c:pt>
                <c:pt idx="26">
                  <c:v>0.12067276240025034</c:v>
                </c:pt>
                <c:pt idx="27">
                  <c:v>0.11906530276349382</c:v>
                </c:pt>
                <c:pt idx="28">
                  <c:v>0.11749704945934113</c:v>
                </c:pt>
                <c:pt idx="29">
                  <c:v>0.11313763666839309</c:v>
                </c:pt>
                <c:pt idx="30">
                  <c:v>5.4766917293233082E-2</c:v>
                </c:pt>
                <c:pt idx="31">
                  <c:v>5.4766917293233082E-2</c:v>
                </c:pt>
                <c:pt idx="32">
                  <c:v>5.4766917293233082E-2</c:v>
                </c:pt>
                <c:pt idx="33">
                  <c:v>5.4766917293233082E-2</c:v>
                </c:pt>
                <c:pt idx="34">
                  <c:v>5.4766917293233082E-2</c:v>
                </c:pt>
                <c:pt idx="35">
                  <c:v>5.4766917293233082E-2</c:v>
                </c:pt>
                <c:pt idx="36">
                  <c:v>5.4766917293233082E-2</c:v>
                </c:pt>
                <c:pt idx="37">
                  <c:v>5.4766917293233082E-2</c:v>
                </c:pt>
                <c:pt idx="38">
                  <c:v>5.4766917293233082E-2</c:v>
                </c:pt>
                <c:pt idx="39">
                  <c:v>5.4766917293233082E-2</c:v>
                </c:pt>
                <c:pt idx="40">
                  <c:v>5.4766917293233082E-2</c:v>
                </c:pt>
                <c:pt idx="41">
                  <c:v>5.4766917293233082E-2</c:v>
                </c:pt>
                <c:pt idx="42">
                  <c:v>5.4766917293233082E-2</c:v>
                </c:pt>
                <c:pt idx="43">
                  <c:v>5.4766917293233082E-2</c:v>
                </c:pt>
                <c:pt idx="44">
                  <c:v>5.4766917293233082E-2</c:v>
                </c:pt>
                <c:pt idx="45">
                  <c:v>5.4766917293233082E-2</c:v>
                </c:pt>
                <c:pt idx="46">
                  <c:v>5.4766917293233082E-2</c:v>
                </c:pt>
                <c:pt idx="47">
                  <c:v>5.4766917293233082E-2</c:v>
                </c:pt>
                <c:pt idx="48">
                  <c:v>5.4766917293233082E-2</c:v>
                </c:pt>
                <c:pt idx="49">
                  <c:v>5.4766917293233082E-2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1696"/>
        <c:axId val="185972480"/>
      </c:lineChart>
      <c:catAx>
        <c:axId val="18597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72480"/>
        <c:crosses val="autoZero"/>
        <c:auto val="1"/>
        <c:lblAlgn val="ctr"/>
        <c:lblOffset val="100"/>
        <c:noMultiLvlLbl val="0"/>
      </c:catAx>
      <c:valAx>
        <c:axId val="18597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2012  $ per kWh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8597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7762467191601"/>
          <c:y val="0.10388664831530205"/>
          <c:w val="0.30655708661417325"/>
          <c:h val="0.1960207413097753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4418197725285"/>
          <c:y val="0.1305016750954911"/>
          <c:w val="0.65112095363079614"/>
          <c:h val="0.68995028060516828"/>
        </c:manualLayout>
      </c:layout>
      <c:lineChart>
        <c:grouping val="standard"/>
        <c:varyColors val="0"/>
        <c:ser>
          <c:idx val="2"/>
          <c:order val="0"/>
          <c:tx>
            <c:strRef>
              <c:f>graphs!$C$38</c:f>
              <c:strCache>
                <c:ptCount val="1"/>
                <c:pt idx="0">
                  <c:v>Case 3</c:v>
                </c:pt>
              </c:strCache>
            </c:strRef>
          </c:tx>
          <c:marker>
            <c:symbol val="none"/>
          </c:marker>
          <c:val>
            <c:numRef>
              <c:f>graphs!$D$38:$BA$38</c:f>
              <c:numCache>
                <c:formatCode>_(* #,##0.00_);_(* \(#,##0.00\);_(* "-"??_);_(@_)</c:formatCode>
                <c:ptCount val="50"/>
                <c:pt idx="0">
                  <c:v>0.10194020566369887</c:v>
                </c:pt>
                <c:pt idx="1">
                  <c:v>9.9618905941451522E-2</c:v>
                </c:pt>
                <c:pt idx="2">
                  <c:v>9.7354223285600464E-2</c:v>
                </c:pt>
                <c:pt idx="3">
                  <c:v>9.5144776792087216E-2</c:v>
                </c:pt>
                <c:pt idx="4">
                  <c:v>9.2989219237440149E-2</c:v>
                </c:pt>
                <c:pt idx="5">
                  <c:v>9.0886236257296679E-2</c:v>
                </c:pt>
                <c:pt idx="6">
                  <c:v>8.8834545544961577E-2</c:v>
                </c:pt>
                <c:pt idx="7">
                  <c:v>8.6832896069512708E-2</c:v>
                </c:pt>
                <c:pt idx="8">
                  <c:v>8.4880067312977231E-2</c:v>
                </c:pt>
                <c:pt idx="9">
                  <c:v>8.2974868526113341E-2</c:v>
                </c:pt>
                <c:pt idx="10">
                  <c:v>8.1116138002343699E-2</c:v>
                </c:pt>
                <c:pt idx="11">
                  <c:v>7.9302742369397689E-2</c:v>
                </c:pt>
                <c:pt idx="12">
                  <c:v>7.7533575898230858E-2</c:v>
                </c:pt>
                <c:pt idx="13">
                  <c:v>7.5807559828799817E-2</c:v>
                </c:pt>
                <c:pt idx="14">
                  <c:v>7.412364171228171E-2</c:v>
                </c:pt>
                <c:pt idx="15">
                  <c:v>7.248079476933722E-2</c:v>
                </c:pt>
                <c:pt idx="16">
                  <c:v>7.0878017264025525E-2</c:v>
                </c:pt>
                <c:pt idx="17">
                  <c:v>6.9314331892989745E-2</c:v>
                </c:pt>
                <c:pt idx="18">
                  <c:v>6.7788785189540166E-2</c:v>
                </c:pt>
                <c:pt idx="19">
                  <c:v>6.6300446942272287E-2</c:v>
                </c:pt>
                <c:pt idx="20">
                  <c:v>6.4848409627864631E-2</c:v>
                </c:pt>
                <c:pt idx="21">
                  <c:v>6.3431787857710795E-2</c:v>
                </c:pt>
                <c:pt idx="22">
                  <c:v>6.2049717838048524E-2</c:v>
                </c:pt>
                <c:pt idx="23">
                  <c:v>6.0701356843256074E-2</c:v>
                </c:pt>
                <c:pt idx="24">
                  <c:v>5.9385882701995137E-2</c:v>
                </c:pt>
                <c:pt idx="25">
                  <c:v>5.810249329588691E-2</c:v>
                </c:pt>
                <c:pt idx="26">
                  <c:v>5.685040607041545E-2</c:v>
                </c:pt>
                <c:pt idx="27">
                  <c:v>5.5628857557760376E-2</c:v>
                </c:pt>
                <c:pt idx="28">
                  <c:v>5.4437102911267632E-2</c:v>
                </c:pt>
                <c:pt idx="29">
                  <c:v>5.1520739041028399E-2</c:v>
                </c:pt>
                <c:pt idx="30">
                  <c:v>6.7669170515574752E-3</c:v>
                </c:pt>
                <c:pt idx="31">
                  <c:v>6.7669170515574752E-3</c:v>
                </c:pt>
                <c:pt idx="32">
                  <c:v>6.7669170515574752E-3</c:v>
                </c:pt>
                <c:pt idx="33">
                  <c:v>6.7669170515574752E-3</c:v>
                </c:pt>
                <c:pt idx="34">
                  <c:v>6.7669170515574752E-3</c:v>
                </c:pt>
                <c:pt idx="35">
                  <c:v>6.7669170515574752E-3</c:v>
                </c:pt>
                <c:pt idx="36">
                  <c:v>6.7669170515574752E-3</c:v>
                </c:pt>
                <c:pt idx="37">
                  <c:v>6.7669170515574752E-3</c:v>
                </c:pt>
                <c:pt idx="38">
                  <c:v>6.7669170515574752E-3</c:v>
                </c:pt>
                <c:pt idx="39">
                  <c:v>6.7669170515574752E-3</c:v>
                </c:pt>
                <c:pt idx="40">
                  <c:v>6.7669170515574752E-3</c:v>
                </c:pt>
                <c:pt idx="41">
                  <c:v>6.7669170515574752E-3</c:v>
                </c:pt>
                <c:pt idx="42">
                  <c:v>6.7669170515574752E-3</c:v>
                </c:pt>
                <c:pt idx="43">
                  <c:v>6.7669170515574752E-3</c:v>
                </c:pt>
                <c:pt idx="44">
                  <c:v>6.7669170515574752E-3</c:v>
                </c:pt>
                <c:pt idx="45">
                  <c:v>6.7669170515574752E-3</c:v>
                </c:pt>
                <c:pt idx="46">
                  <c:v>6.7669170515574752E-3</c:v>
                </c:pt>
                <c:pt idx="47">
                  <c:v>6.7669170515574752E-3</c:v>
                </c:pt>
                <c:pt idx="48">
                  <c:v>6.7669170515574752E-3</c:v>
                </c:pt>
                <c:pt idx="49">
                  <c:v>6.7669170515574752E-3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graphs!$C$37</c:f>
              <c:strCache>
                <c:ptCount val="1"/>
                <c:pt idx="0">
                  <c:v>Case 2</c:v>
                </c:pt>
              </c:strCache>
            </c:strRef>
          </c:tx>
          <c:marker>
            <c:symbol val="none"/>
          </c:marker>
          <c:val>
            <c:numRef>
              <c:f>graphs!$D$37:$BA$37</c:f>
              <c:numCache>
                <c:formatCode>_(* #,##0.00_);_(* \(#,##0.00\);_(* "-"??_);_(@_)</c:formatCode>
                <c:ptCount val="50"/>
                <c:pt idx="0">
                  <c:v>0.21485171337904913</c:v>
                </c:pt>
                <c:pt idx="1">
                  <c:v>0.20977647445012682</c:v>
                </c:pt>
                <c:pt idx="2">
                  <c:v>0.20482502183654408</c:v>
                </c:pt>
                <c:pt idx="3">
                  <c:v>0.19999433635987796</c:v>
                </c:pt>
                <c:pt idx="4">
                  <c:v>0.19528147248020369</c:v>
                </c:pt>
                <c:pt idx="5">
                  <c:v>0.19068355650003374</c:v>
                </c:pt>
                <c:pt idx="6">
                  <c:v>0.18619778481206301</c:v>
                </c:pt>
                <c:pt idx="7">
                  <c:v>0.18182142218965253</c:v>
                </c:pt>
                <c:pt idx="8">
                  <c:v>0.17755180011900815</c:v>
                </c:pt>
                <c:pt idx="9">
                  <c:v>0.17338631517203804</c:v>
                </c:pt>
                <c:pt idx="10">
                  <c:v>0.1693224274188965</c:v>
                </c:pt>
                <c:pt idx="11">
                  <c:v>0.16535765887924617</c:v>
                </c:pt>
                <c:pt idx="12">
                  <c:v>0.16148959201129467</c:v>
                </c:pt>
                <c:pt idx="13">
                  <c:v>0.15771586823768341</c:v>
                </c:pt>
                <c:pt idx="14">
                  <c:v>0.15403418650733097</c:v>
                </c:pt>
                <c:pt idx="15">
                  <c:v>0.15044230189235297</c:v>
                </c:pt>
                <c:pt idx="16">
                  <c:v>0.14693802421920371</c:v>
                </c:pt>
                <c:pt idx="17">
                  <c:v>0.14351921673320447</c:v>
                </c:pt>
                <c:pt idx="18">
                  <c:v>0.14018379479564419</c:v>
                </c:pt>
                <c:pt idx="19">
                  <c:v>0.13692972461265859</c:v>
                </c:pt>
                <c:pt idx="20">
                  <c:v>0.13375502199511163</c:v>
                </c:pt>
                <c:pt idx="21">
                  <c:v>0.13065775114872435</c:v>
                </c:pt>
                <c:pt idx="22">
                  <c:v>0.12763602349371239</c:v>
                </c:pt>
                <c:pt idx="23">
                  <c:v>0.12468799651321291</c:v>
                </c:pt>
                <c:pt idx="24">
                  <c:v>0.12181187262979878</c:v>
                </c:pt>
                <c:pt idx="25">
                  <c:v>6.7669172932330827E-3</c:v>
                </c:pt>
                <c:pt idx="26">
                  <c:v>6.7669172932330827E-3</c:v>
                </c:pt>
                <c:pt idx="27">
                  <c:v>6.7669172932330827E-3</c:v>
                </c:pt>
                <c:pt idx="28">
                  <c:v>6.7669172932330827E-3</c:v>
                </c:pt>
                <c:pt idx="29">
                  <c:v>6.7669172932330827E-3</c:v>
                </c:pt>
                <c:pt idx="30">
                  <c:v>6.7669172932330827E-3</c:v>
                </c:pt>
                <c:pt idx="31">
                  <c:v>6.7669172932330827E-3</c:v>
                </c:pt>
                <c:pt idx="32">
                  <c:v>6.7669172932330827E-3</c:v>
                </c:pt>
                <c:pt idx="33">
                  <c:v>6.7669172932330827E-3</c:v>
                </c:pt>
                <c:pt idx="34">
                  <c:v>6.7669172932330827E-3</c:v>
                </c:pt>
                <c:pt idx="35">
                  <c:v>6.7669172932330827E-3</c:v>
                </c:pt>
                <c:pt idx="36">
                  <c:v>6.7669172932330827E-3</c:v>
                </c:pt>
                <c:pt idx="37">
                  <c:v>6.7669172932330827E-3</c:v>
                </c:pt>
                <c:pt idx="38">
                  <c:v>6.7669172932330827E-3</c:v>
                </c:pt>
                <c:pt idx="39">
                  <c:v>6.7669172932330827E-3</c:v>
                </c:pt>
                <c:pt idx="40">
                  <c:v>6.7669172932330827E-3</c:v>
                </c:pt>
                <c:pt idx="41">
                  <c:v>6.7669172932330827E-3</c:v>
                </c:pt>
                <c:pt idx="42">
                  <c:v>6.7669172932330827E-3</c:v>
                </c:pt>
                <c:pt idx="43">
                  <c:v>6.7669172932330827E-3</c:v>
                </c:pt>
                <c:pt idx="44">
                  <c:v>6.7669172932330827E-3</c:v>
                </c:pt>
                <c:pt idx="45">
                  <c:v>6.7669172932330827E-3</c:v>
                </c:pt>
                <c:pt idx="46">
                  <c:v>6.7669172932330827E-3</c:v>
                </c:pt>
                <c:pt idx="47">
                  <c:v>6.7669172932330827E-3</c:v>
                </c:pt>
                <c:pt idx="48">
                  <c:v>6.7669172932330827E-3</c:v>
                </c:pt>
                <c:pt idx="49">
                  <c:v>6.7669172932330827E-3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graphs!$C$36</c:f>
              <c:strCache>
                <c:ptCount val="1"/>
                <c:pt idx="0">
                  <c:v>Case 1</c:v>
                </c:pt>
              </c:strCache>
            </c:strRef>
          </c:tx>
          <c:marker>
            <c:symbol val="none"/>
          </c:marker>
          <c:cat>
            <c:numRef>
              <c:f>graphs!$D$15:$BA$15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graphs!$D$36:$BA$36</c:f>
              <c:numCache>
                <c:formatCode>_(* #,##0.00_);_(* \(#,##0.00\);_(* "-"??_);_(@_)</c:formatCode>
                <c:ptCount val="50"/>
                <c:pt idx="0">
                  <c:v>0.13200731368884877</c:v>
                </c:pt>
                <c:pt idx="1">
                  <c:v>0.12895266987432155</c:v>
                </c:pt>
                <c:pt idx="2">
                  <c:v>0.12597252956746577</c:v>
                </c:pt>
                <c:pt idx="3">
                  <c:v>0.12306507560955768</c:v>
                </c:pt>
                <c:pt idx="4">
                  <c:v>0.12022853516281805</c:v>
                </c:pt>
                <c:pt idx="5">
                  <c:v>0.11746117862941353</c:v>
                </c:pt>
                <c:pt idx="6">
                  <c:v>0.1147613185968238</c:v>
                </c:pt>
                <c:pt idx="7">
                  <c:v>0.11212730880893135</c:v>
                </c:pt>
                <c:pt idx="8">
                  <c:v>0.10955754316220702</c:v>
                </c:pt>
                <c:pt idx="9">
                  <c:v>0.10705045472637839</c:v>
                </c:pt>
                <c:pt idx="10">
                  <c:v>0.10460451478898462</c:v>
                </c:pt>
                <c:pt idx="11">
                  <c:v>0.10221823192323458</c:v>
                </c:pt>
                <c:pt idx="12">
                  <c:v>9.98901510786004E-2</c:v>
                </c:pt>
                <c:pt idx="13">
                  <c:v>9.7618852693591454E-2</c:v>
                </c:pt>
                <c:pt idx="14">
                  <c:v>9.5402951830168073E-2</c:v>
                </c:pt>
                <c:pt idx="15">
                  <c:v>9.3241097329267247E-2</c:v>
                </c:pt>
                <c:pt idx="16">
                  <c:v>9.1131970986924937E-2</c:v>
                </c:pt>
                <c:pt idx="17">
                  <c:v>8.9074286750493448E-2</c:v>
                </c:pt>
                <c:pt idx="18">
                  <c:v>8.7066789934462707E-2</c:v>
                </c:pt>
                <c:pt idx="19">
                  <c:v>8.5108256455408343E-2</c:v>
                </c:pt>
                <c:pt idx="20">
                  <c:v>8.3197492085599192E-2</c:v>
                </c:pt>
                <c:pt idx="21">
                  <c:v>8.1333331724809776E-2</c:v>
                </c:pt>
                <c:pt idx="22">
                  <c:v>7.9514638689893294E-2</c:v>
                </c:pt>
                <c:pt idx="23">
                  <c:v>7.7740304021682069E-2</c:v>
                </c:pt>
                <c:pt idx="24">
                  <c:v>7.6009245808793077E-2</c:v>
                </c:pt>
                <c:pt idx="25">
                  <c:v>7.4320408527925763E-2</c:v>
                </c:pt>
                <c:pt idx="26">
                  <c:v>7.2672762400250335E-2</c:v>
                </c:pt>
                <c:pt idx="27">
                  <c:v>7.1065302763493821E-2</c:v>
                </c:pt>
                <c:pt idx="28">
                  <c:v>6.9497049459341126E-2</c:v>
                </c:pt>
                <c:pt idx="29">
                  <c:v>6.513763666839309E-2</c:v>
                </c:pt>
                <c:pt idx="30">
                  <c:v>6.7669172932330827E-3</c:v>
                </c:pt>
                <c:pt idx="31">
                  <c:v>6.7669172932330827E-3</c:v>
                </c:pt>
                <c:pt idx="32">
                  <c:v>6.7669172932330827E-3</c:v>
                </c:pt>
                <c:pt idx="33">
                  <c:v>6.7669172932330827E-3</c:v>
                </c:pt>
                <c:pt idx="34">
                  <c:v>6.7669172932330827E-3</c:v>
                </c:pt>
                <c:pt idx="35">
                  <c:v>6.7669172932330827E-3</c:v>
                </c:pt>
                <c:pt idx="36">
                  <c:v>6.7669172932330827E-3</c:v>
                </c:pt>
                <c:pt idx="37">
                  <c:v>6.7669172932330827E-3</c:v>
                </c:pt>
                <c:pt idx="38">
                  <c:v>6.7669172932330827E-3</c:v>
                </c:pt>
                <c:pt idx="39">
                  <c:v>6.7669172932330827E-3</c:v>
                </c:pt>
                <c:pt idx="40">
                  <c:v>6.7669172932330827E-3</c:v>
                </c:pt>
                <c:pt idx="41">
                  <c:v>6.7669172932330827E-3</c:v>
                </c:pt>
                <c:pt idx="42">
                  <c:v>6.7669172932330827E-3</c:v>
                </c:pt>
                <c:pt idx="43">
                  <c:v>6.7669172932330827E-3</c:v>
                </c:pt>
                <c:pt idx="44">
                  <c:v>6.7669172932330827E-3</c:v>
                </c:pt>
                <c:pt idx="45">
                  <c:v>6.7669172932330827E-3</c:v>
                </c:pt>
                <c:pt idx="46">
                  <c:v>6.7669172932330827E-3</c:v>
                </c:pt>
                <c:pt idx="47">
                  <c:v>6.7669172932330827E-3</c:v>
                </c:pt>
                <c:pt idx="48">
                  <c:v>6.7669172932330827E-3</c:v>
                </c:pt>
                <c:pt idx="49">
                  <c:v>6.7669172932330827E-3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68352"/>
        <c:axId val="240175016"/>
      </c:lineChart>
      <c:catAx>
        <c:axId val="2401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175016"/>
        <c:crosses val="autoZero"/>
        <c:auto val="1"/>
        <c:lblAlgn val="ctr"/>
        <c:lblOffset val="100"/>
        <c:noMultiLvlLbl val="0"/>
      </c:catAx>
      <c:valAx>
        <c:axId val="240175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2012  $ per kWh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4016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graphs!$C$60</c:f>
              <c:strCache>
                <c:ptCount val="1"/>
                <c:pt idx="0">
                  <c:v>Susitna Case 1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graphs!$D$58:$BA$58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graphs!$D$60:$BA$60</c:f>
              <c:numCache>
                <c:formatCode>_(* #,##0.00_);_(* \(#,##0.00\);_(* "-"??_);_(@_)</c:formatCode>
                <c:ptCount val="50"/>
                <c:pt idx="0">
                  <c:v>0.13200731368884877</c:v>
                </c:pt>
                <c:pt idx="1">
                  <c:v>0.12895266987432155</c:v>
                </c:pt>
                <c:pt idx="2">
                  <c:v>0.12597252956746577</c:v>
                </c:pt>
                <c:pt idx="3">
                  <c:v>0.12306507560955768</c:v>
                </c:pt>
                <c:pt idx="4">
                  <c:v>0.12022853516281805</c:v>
                </c:pt>
                <c:pt idx="5">
                  <c:v>0.11746117862941353</c:v>
                </c:pt>
                <c:pt idx="6">
                  <c:v>0.1147613185968238</c:v>
                </c:pt>
                <c:pt idx="7">
                  <c:v>0.11212730880893135</c:v>
                </c:pt>
                <c:pt idx="8">
                  <c:v>0.10955754316220702</c:v>
                </c:pt>
                <c:pt idx="9">
                  <c:v>0.10705045472637839</c:v>
                </c:pt>
                <c:pt idx="10">
                  <c:v>0.10460451478898462</c:v>
                </c:pt>
                <c:pt idx="11">
                  <c:v>0.10221823192323458</c:v>
                </c:pt>
                <c:pt idx="12">
                  <c:v>9.98901510786004E-2</c:v>
                </c:pt>
                <c:pt idx="13">
                  <c:v>9.7618852693591454E-2</c:v>
                </c:pt>
                <c:pt idx="14">
                  <c:v>9.5402951830168073E-2</c:v>
                </c:pt>
                <c:pt idx="15">
                  <c:v>9.3241097329267247E-2</c:v>
                </c:pt>
                <c:pt idx="16">
                  <c:v>9.1131970986924937E-2</c:v>
                </c:pt>
                <c:pt idx="17">
                  <c:v>8.9074286750493448E-2</c:v>
                </c:pt>
                <c:pt idx="18">
                  <c:v>8.7066789934462707E-2</c:v>
                </c:pt>
                <c:pt idx="19">
                  <c:v>8.5108256455408343E-2</c:v>
                </c:pt>
                <c:pt idx="20">
                  <c:v>8.3197492085599192E-2</c:v>
                </c:pt>
                <c:pt idx="21">
                  <c:v>8.1333331724809776E-2</c:v>
                </c:pt>
                <c:pt idx="22">
                  <c:v>7.9514638689893294E-2</c:v>
                </c:pt>
                <c:pt idx="23">
                  <c:v>7.7740304021682069E-2</c:v>
                </c:pt>
                <c:pt idx="24">
                  <c:v>7.6009245808793077E-2</c:v>
                </c:pt>
                <c:pt idx="25">
                  <c:v>7.4320408527925763E-2</c:v>
                </c:pt>
                <c:pt idx="26">
                  <c:v>7.2672762400250335E-2</c:v>
                </c:pt>
                <c:pt idx="27">
                  <c:v>7.1065302763493821E-2</c:v>
                </c:pt>
                <c:pt idx="28">
                  <c:v>6.9497049459341126E-2</c:v>
                </c:pt>
                <c:pt idx="29">
                  <c:v>6.513763666839309E-2</c:v>
                </c:pt>
                <c:pt idx="30">
                  <c:v>6.7669172932330827E-3</c:v>
                </c:pt>
                <c:pt idx="31">
                  <c:v>6.7669172932330827E-3</c:v>
                </c:pt>
                <c:pt idx="32">
                  <c:v>6.7669172932330827E-3</c:v>
                </c:pt>
                <c:pt idx="33">
                  <c:v>6.7669172932330827E-3</c:v>
                </c:pt>
                <c:pt idx="34">
                  <c:v>6.7669172932330827E-3</c:v>
                </c:pt>
                <c:pt idx="35">
                  <c:v>6.7669172932330827E-3</c:v>
                </c:pt>
                <c:pt idx="36">
                  <c:v>6.7669172932330827E-3</c:v>
                </c:pt>
                <c:pt idx="37">
                  <c:v>6.7669172932330827E-3</c:v>
                </c:pt>
                <c:pt idx="38">
                  <c:v>6.7669172932330827E-3</c:v>
                </c:pt>
                <c:pt idx="39">
                  <c:v>6.7669172932330827E-3</c:v>
                </c:pt>
                <c:pt idx="40">
                  <c:v>6.7669172932330827E-3</c:v>
                </c:pt>
                <c:pt idx="41">
                  <c:v>6.7669172932330827E-3</c:v>
                </c:pt>
                <c:pt idx="42">
                  <c:v>6.7669172932330827E-3</c:v>
                </c:pt>
                <c:pt idx="43">
                  <c:v>6.7669172932330827E-3</c:v>
                </c:pt>
                <c:pt idx="44">
                  <c:v>6.7669172932330827E-3</c:v>
                </c:pt>
                <c:pt idx="45">
                  <c:v>6.7669172932330827E-3</c:v>
                </c:pt>
                <c:pt idx="46">
                  <c:v>6.7669172932330827E-3</c:v>
                </c:pt>
                <c:pt idx="47">
                  <c:v>6.7669172932330827E-3</c:v>
                </c:pt>
                <c:pt idx="48">
                  <c:v>6.7669172932330827E-3</c:v>
                </c:pt>
                <c:pt idx="49">
                  <c:v>6.7669172932330827E-3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graphs!$C$61</c:f>
              <c:strCache>
                <c:ptCount val="1"/>
                <c:pt idx="0">
                  <c:v>Susitna Case 2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graphs!$D$58:$BA$58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graphs!$D$61:$BA$61</c:f>
              <c:numCache>
                <c:formatCode>_(* #,##0.00_);_(* \(#,##0.00\);_(* "-"??_);_(@_)</c:formatCode>
                <c:ptCount val="50"/>
                <c:pt idx="0">
                  <c:v>0.21485171337904913</c:v>
                </c:pt>
                <c:pt idx="1">
                  <c:v>0.20977647445012682</c:v>
                </c:pt>
                <c:pt idx="2">
                  <c:v>0.20482502183654408</c:v>
                </c:pt>
                <c:pt idx="3">
                  <c:v>0.19999433635987796</c:v>
                </c:pt>
                <c:pt idx="4">
                  <c:v>0.19528147248020369</c:v>
                </c:pt>
                <c:pt idx="5">
                  <c:v>0.19068355650003374</c:v>
                </c:pt>
                <c:pt idx="6">
                  <c:v>0.18619778481206301</c:v>
                </c:pt>
                <c:pt idx="7">
                  <c:v>0.18182142218965253</c:v>
                </c:pt>
                <c:pt idx="8">
                  <c:v>0.17755180011900815</c:v>
                </c:pt>
                <c:pt idx="9">
                  <c:v>0.17338631517203804</c:v>
                </c:pt>
                <c:pt idx="10">
                  <c:v>0.1693224274188965</c:v>
                </c:pt>
                <c:pt idx="11">
                  <c:v>0.16535765887924617</c:v>
                </c:pt>
                <c:pt idx="12">
                  <c:v>0.16148959201129467</c:v>
                </c:pt>
                <c:pt idx="13">
                  <c:v>0.15771586823768341</c:v>
                </c:pt>
                <c:pt idx="14">
                  <c:v>0.15403418650733097</c:v>
                </c:pt>
                <c:pt idx="15">
                  <c:v>0.15044230189235297</c:v>
                </c:pt>
                <c:pt idx="16">
                  <c:v>0.14693802421920371</c:v>
                </c:pt>
                <c:pt idx="17">
                  <c:v>0.14351921673320447</c:v>
                </c:pt>
                <c:pt idx="18">
                  <c:v>0.14018379479564419</c:v>
                </c:pt>
                <c:pt idx="19">
                  <c:v>0.13692972461265859</c:v>
                </c:pt>
                <c:pt idx="20">
                  <c:v>0.13375502199511163</c:v>
                </c:pt>
                <c:pt idx="21">
                  <c:v>0.13065775114872435</c:v>
                </c:pt>
                <c:pt idx="22">
                  <c:v>0.12763602349371239</c:v>
                </c:pt>
                <c:pt idx="23">
                  <c:v>0.12468799651321291</c:v>
                </c:pt>
                <c:pt idx="24">
                  <c:v>0.12181187262979878</c:v>
                </c:pt>
                <c:pt idx="25">
                  <c:v>6.7669172932330827E-3</c:v>
                </c:pt>
                <c:pt idx="26">
                  <c:v>6.7669172932330827E-3</c:v>
                </c:pt>
                <c:pt idx="27">
                  <c:v>6.7669172932330827E-3</c:v>
                </c:pt>
                <c:pt idx="28">
                  <c:v>6.7669172932330827E-3</c:v>
                </c:pt>
                <c:pt idx="29">
                  <c:v>6.7669172932330827E-3</c:v>
                </c:pt>
                <c:pt idx="30">
                  <c:v>6.7669172932330827E-3</c:v>
                </c:pt>
                <c:pt idx="31">
                  <c:v>6.7669172932330827E-3</c:v>
                </c:pt>
                <c:pt idx="32">
                  <c:v>6.7669172932330827E-3</c:v>
                </c:pt>
                <c:pt idx="33">
                  <c:v>6.7669172932330827E-3</c:v>
                </c:pt>
                <c:pt idx="34">
                  <c:v>6.7669172932330827E-3</c:v>
                </c:pt>
                <c:pt idx="35">
                  <c:v>6.7669172932330827E-3</c:v>
                </c:pt>
                <c:pt idx="36">
                  <c:v>6.7669172932330827E-3</c:v>
                </c:pt>
                <c:pt idx="37">
                  <c:v>6.7669172932330827E-3</c:v>
                </c:pt>
                <c:pt idx="38">
                  <c:v>6.7669172932330827E-3</c:v>
                </c:pt>
                <c:pt idx="39">
                  <c:v>6.7669172932330827E-3</c:v>
                </c:pt>
                <c:pt idx="40">
                  <c:v>6.7669172932330827E-3</c:v>
                </c:pt>
                <c:pt idx="41">
                  <c:v>6.7669172932330827E-3</c:v>
                </c:pt>
                <c:pt idx="42">
                  <c:v>6.7669172932330827E-3</c:v>
                </c:pt>
                <c:pt idx="43">
                  <c:v>6.7669172932330827E-3</c:v>
                </c:pt>
                <c:pt idx="44">
                  <c:v>6.7669172932330827E-3</c:v>
                </c:pt>
                <c:pt idx="45">
                  <c:v>6.7669172932330827E-3</c:v>
                </c:pt>
                <c:pt idx="46">
                  <c:v>6.7669172932330827E-3</c:v>
                </c:pt>
                <c:pt idx="47">
                  <c:v>6.7669172932330827E-3</c:v>
                </c:pt>
                <c:pt idx="48">
                  <c:v>6.7669172932330827E-3</c:v>
                </c:pt>
                <c:pt idx="49">
                  <c:v>6.7669172932330827E-3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graphs!$C$62</c:f>
              <c:strCache>
                <c:ptCount val="1"/>
                <c:pt idx="0">
                  <c:v>Susitna Case 3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graphs!$D$62:$BA$62</c:f>
              <c:numCache>
                <c:formatCode>_(* #,##0.00_);_(* \(#,##0.00\);_(* "-"??_);_(@_)</c:formatCode>
                <c:ptCount val="50"/>
                <c:pt idx="0">
                  <c:v>0.10194020566369887</c:v>
                </c:pt>
                <c:pt idx="1">
                  <c:v>9.9618905941451522E-2</c:v>
                </c:pt>
                <c:pt idx="2">
                  <c:v>9.7354223285600464E-2</c:v>
                </c:pt>
                <c:pt idx="3">
                  <c:v>9.5144776792087216E-2</c:v>
                </c:pt>
                <c:pt idx="4">
                  <c:v>9.2989219237440149E-2</c:v>
                </c:pt>
                <c:pt idx="5">
                  <c:v>9.0886236257296679E-2</c:v>
                </c:pt>
                <c:pt idx="6">
                  <c:v>8.8834545544961577E-2</c:v>
                </c:pt>
                <c:pt idx="7">
                  <c:v>8.6832896069512708E-2</c:v>
                </c:pt>
                <c:pt idx="8">
                  <c:v>8.4880067312977231E-2</c:v>
                </c:pt>
                <c:pt idx="9">
                  <c:v>8.2974868526113341E-2</c:v>
                </c:pt>
                <c:pt idx="10">
                  <c:v>8.1116138002343699E-2</c:v>
                </c:pt>
                <c:pt idx="11">
                  <c:v>7.9302742369397689E-2</c:v>
                </c:pt>
                <c:pt idx="12">
                  <c:v>7.7533575898230858E-2</c:v>
                </c:pt>
                <c:pt idx="13">
                  <c:v>7.5807559828799817E-2</c:v>
                </c:pt>
                <c:pt idx="14">
                  <c:v>7.412364171228171E-2</c:v>
                </c:pt>
                <c:pt idx="15">
                  <c:v>7.248079476933722E-2</c:v>
                </c:pt>
                <c:pt idx="16">
                  <c:v>7.0878017264025525E-2</c:v>
                </c:pt>
                <c:pt idx="17">
                  <c:v>6.9314331892989745E-2</c:v>
                </c:pt>
                <c:pt idx="18">
                  <c:v>6.7788785189540166E-2</c:v>
                </c:pt>
                <c:pt idx="19">
                  <c:v>6.6300446942272287E-2</c:v>
                </c:pt>
                <c:pt idx="20">
                  <c:v>6.4848409627864631E-2</c:v>
                </c:pt>
                <c:pt idx="21">
                  <c:v>6.3431787857710795E-2</c:v>
                </c:pt>
                <c:pt idx="22">
                  <c:v>6.2049717838048524E-2</c:v>
                </c:pt>
                <c:pt idx="23">
                  <c:v>6.0701356843256074E-2</c:v>
                </c:pt>
                <c:pt idx="24">
                  <c:v>5.9385882701995137E-2</c:v>
                </c:pt>
                <c:pt idx="25">
                  <c:v>5.810249329588691E-2</c:v>
                </c:pt>
                <c:pt idx="26">
                  <c:v>5.685040607041545E-2</c:v>
                </c:pt>
                <c:pt idx="27">
                  <c:v>5.5628857557760376E-2</c:v>
                </c:pt>
                <c:pt idx="28">
                  <c:v>5.4437102911267632E-2</c:v>
                </c:pt>
                <c:pt idx="29">
                  <c:v>5.1520739041028399E-2</c:v>
                </c:pt>
                <c:pt idx="30">
                  <c:v>6.7669170515574752E-3</c:v>
                </c:pt>
                <c:pt idx="31">
                  <c:v>6.7669170515574752E-3</c:v>
                </c:pt>
                <c:pt idx="32">
                  <c:v>6.7669170515574752E-3</c:v>
                </c:pt>
                <c:pt idx="33">
                  <c:v>6.7669170515574752E-3</c:v>
                </c:pt>
                <c:pt idx="34">
                  <c:v>6.7669170515574752E-3</c:v>
                </c:pt>
                <c:pt idx="35">
                  <c:v>6.7669170515574752E-3</c:v>
                </c:pt>
                <c:pt idx="36">
                  <c:v>6.7669170515574752E-3</c:v>
                </c:pt>
                <c:pt idx="37">
                  <c:v>6.7669170515574752E-3</c:v>
                </c:pt>
                <c:pt idx="38">
                  <c:v>6.7669170515574752E-3</c:v>
                </c:pt>
                <c:pt idx="39">
                  <c:v>6.7669170515574752E-3</c:v>
                </c:pt>
                <c:pt idx="40">
                  <c:v>6.7669170515574752E-3</c:v>
                </c:pt>
                <c:pt idx="41">
                  <c:v>6.7669170515574752E-3</c:v>
                </c:pt>
                <c:pt idx="42">
                  <c:v>6.7669170515574752E-3</c:v>
                </c:pt>
                <c:pt idx="43">
                  <c:v>6.7669170515574752E-3</c:v>
                </c:pt>
                <c:pt idx="44">
                  <c:v>6.7669170515574752E-3</c:v>
                </c:pt>
                <c:pt idx="45">
                  <c:v>6.7669170515574752E-3</c:v>
                </c:pt>
                <c:pt idx="46">
                  <c:v>6.7669170515574752E-3</c:v>
                </c:pt>
                <c:pt idx="47">
                  <c:v>6.7669170515574752E-3</c:v>
                </c:pt>
                <c:pt idx="48">
                  <c:v>6.7669170515574752E-3</c:v>
                </c:pt>
                <c:pt idx="49">
                  <c:v>6.7669170515574752E-3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graphs!$C$63</c:f>
              <c:strCache>
                <c:ptCount val="1"/>
                <c:pt idx="0">
                  <c:v>Natural Gas Case 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3"/>
            <c:spPr>
              <a:ln>
                <a:noFill/>
              </a:ln>
            </c:spPr>
          </c:marker>
          <c:cat>
            <c:numRef>
              <c:f>graphs!$D$58:$BA$58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graphs!$D$63:$AG$63</c:f>
              <c:numCache>
                <c:formatCode>_(* #,##0.00_);_(* \(#,##0.00\);_(* "-"??_);_(@_)</c:formatCode>
                <c:ptCount val="30"/>
                <c:pt idx="0">
                  <c:v>0.11079667999134611</c:v>
                </c:pt>
                <c:pt idx="1">
                  <c:v>0.1098734070297253</c:v>
                </c:pt>
                <c:pt idx="2">
                  <c:v>0.10828062609417291</c:v>
                </c:pt>
                <c:pt idx="3">
                  <c:v>0.10617357605265505</c:v>
                </c:pt>
                <c:pt idx="4">
                  <c:v>0.10462648657338616</c:v>
                </c:pt>
                <c:pt idx="5">
                  <c:v>0.10254016560756432</c:v>
                </c:pt>
                <c:pt idx="6">
                  <c:v>0.10044807169991643</c:v>
                </c:pt>
                <c:pt idx="7">
                  <c:v>9.8833597914292609E-2</c:v>
                </c:pt>
                <c:pt idx="8">
                  <c:v>9.7523455485844929E-2</c:v>
                </c:pt>
                <c:pt idx="9">
                  <c:v>9.5673383555283695E-2</c:v>
                </c:pt>
                <c:pt idx="10">
                  <c:v>9.3859508357538299E-2</c:v>
                </c:pt>
                <c:pt idx="11">
                  <c:v>9.2298895820600024E-2</c:v>
                </c:pt>
                <c:pt idx="12">
                  <c:v>8.978540522780587E-2</c:v>
                </c:pt>
                <c:pt idx="13">
                  <c:v>8.7011997993110241E-2</c:v>
                </c:pt>
                <c:pt idx="14">
                  <c:v>8.4688364334748981E-2</c:v>
                </c:pt>
                <c:pt idx="15">
                  <c:v>8.179906962383196E-2</c:v>
                </c:pt>
                <c:pt idx="16">
                  <c:v>8.1198145522476201E-2</c:v>
                </c:pt>
                <c:pt idx="17">
                  <c:v>7.9567994795531019E-2</c:v>
                </c:pt>
                <c:pt idx="18">
                  <c:v>7.8559167189033871E-2</c:v>
                </c:pt>
                <c:pt idx="19">
                  <c:v>7.7270258210623041E-2</c:v>
                </c:pt>
                <c:pt idx="20">
                  <c:v>7.6559352665285171E-2</c:v>
                </c:pt>
                <c:pt idx="21">
                  <c:v>7.5330849632815181E-2</c:v>
                </c:pt>
                <c:pt idx="22">
                  <c:v>7.4353013719237124E-2</c:v>
                </c:pt>
                <c:pt idx="23">
                  <c:v>7.3122996147469685E-2</c:v>
                </c:pt>
                <c:pt idx="24">
                  <c:v>7.2449730701157095E-2</c:v>
                </c:pt>
                <c:pt idx="25">
                  <c:v>7.1245852019807251E-2</c:v>
                </c:pt>
                <c:pt idx="26">
                  <c:v>7.0091631564315207E-2</c:v>
                </c:pt>
                <c:pt idx="27">
                  <c:v>6.8925962181023939E-2</c:v>
                </c:pt>
                <c:pt idx="28">
                  <c:v>6.8294553150923615E-2</c:v>
                </c:pt>
                <c:pt idx="29">
                  <c:v>6.6450169909936338E-2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graphs!$C$64</c:f>
              <c:strCache>
                <c:ptCount val="1"/>
                <c:pt idx="0">
                  <c:v>Natural Gas Case 2</c:v>
                </c:pt>
              </c:strCache>
            </c:strRef>
          </c:tx>
          <c:spPr>
            <a:ln w="22225"/>
          </c:spPr>
          <c:marker>
            <c:symbol val="triangle"/>
            <c:size val="3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graphs!$D$58:$BA$58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graphs!$D$64:$AG$64</c:f>
              <c:numCache>
                <c:formatCode>_(* #,##0.00_);_(* \(#,##0.00\);_(* "-"??_);_(@_)</c:formatCode>
                <c:ptCount val="30"/>
                <c:pt idx="0">
                  <c:v>0.20717470002689267</c:v>
                </c:pt>
                <c:pt idx="1">
                  <c:v>0.20905041792844503</c:v>
                </c:pt>
                <c:pt idx="2">
                  <c:v>0.21102401013021616</c:v>
                </c:pt>
                <c:pt idx="3">
                  <c:v>0.21308295473014699</c:v>
                </c:pt>
                <c:pt idx="4">
                  <c:v>0.21523848988540684</c:v>
                </c:pt>
                <c:pt idx="5">
                  <c:v>0.21747812500478744</c:v>
                </c:pt>
                <c:pt idx="6">
                  <c:v>0.21981312879262987</c:v>
                </c:pt>
                <c:pt idx="7">
                  <c:v>0.22224291256510775</c:v>
                </c:pt>
                <c:pt idx="8">
                  <c:v>0.22477877410179986</c:v>
                </c:pt>
                <c:pt idx="9">
                  <c:v>0.22739640887443915</c:v>
                </c:pt>
                <c:pt idx="10">
                  <c:v>0.23033271233683442</c:v>
                </c:pt>
                <c:pt idx="11">
                  <c:v>0.23338532538101969</c:v>
                </c:pt>
                <c:pt idx="12">
                  <c:v>0.2365418555910079</c:v>
                </c:pt>
                <c:pt idx="13">
                  <c:v>0.23980179534658061</c:v>
                </c:pt>
                <c:pt idx="14">
                  <c:v>0.24317652151376312</c:v>
                </c:pt>
                <c:pt idx="15">
                  <c:v>0.24667742303758683</c:v>
                </c:pt>
                <c:pt idx="16">
                  <c:v>0.2502802843316897</c:v>
                </c:pt>
                <c:pt idx="17">
                  <c:v>0.24954447814878605</c:v>
                </c:pt>
                <c:pt idx="18">
                  <c:v>0.24882661845814844</c:v>
                </c:pt>
                <c:pt idx="19">
                  <c:v>0.24812626754045319</c:v>
                </c:pt>
                <c:pt idx="20">
                  <c:v>0.24744299835245781</c:v>
                </c:pt>
                <c:pt idx="21">
                  <c:v>0.22517345250984841</c:v>
                </c:pt>
                <c:pt idx="22">
                  <c:v>0.22011223083264286</c:v>
                </c:pt>
                <c:pt idx="23">
                  <c:v>0.22011223083264286</c:v>
                </c:pt>
                <c:pt idx="24">
                  <c:v>0.22011223083264286</c:v>
                </c:pt>
                <c:pt idx="25">
                  <c:v>0.22011223083264286</c:v>
                </c:pt>
                <c:pt idx="26">
                  <c:v>0.22011223083264286</c:v>
                </c:pt>
                <c:pt idx="27">
                  <c:v>0.22011223083264286</c:v>
                </c:pt>
                <c:pt idx="28">
                  <c:v>0.22011223083264286</c:v>
                </c:pt>
                <c:pt idx="29">
                  <c:v>0.22011223083264286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73448"/>
        <c:axId val="240174232"/>
      </c:lineChart>
      <c:catAx>
        <c:axId val="24017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174232"/>
        <c:crosses val="autoZero"/>
        <c:auto val="1"/>
        <c:lblAlgn val="ctr"/>
        <c:lblOffset val="100"/>
        <c:noMultiLvlLbl val="0"/>
      </c:catAx>
      <c:valAx>
        <c:axId val="240174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2012  $ per kWh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4017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graphs!$C$87</c:f>
              <c:strCache>
                <c:ptCount val="1"/>
                <c:pt idx="0">
                  <c:v>Susitna Case 1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graphs!$D$85:$BA$85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graphs!$D$87:$BA$87</c:f>
              <c:numCache>
                <c:formatCode>_(* #,##0.00_);_(* \(#,##0.00\);_(* "-"??_);_(@_)</c:formatCode>
                <c:ptCount val="50"/>
                <c:pt idx="0">
                  <c:v>0.18000731368884876</c:v>
                </c:pt>
                <c:pt idx="1">
                  <c:v>0.17695266987432157</c:v>
                </c:pt>
                <c:pt idx="2">
                  <c:v>0.17397252956746578</c:v>
                </c:pt>
                <c:pt idx="3">
                  <c:v>0.17106507560955769</c:v>
                </c:pt>
                <c:pt idx="4">
                  <c:v>0.16822853516281805</c:v>
                </c:pt>
                <c:pt idx="5">
                  <c:v>0.16546117862941354</c:v>
                </c:pt>
                <c:pt idx="6">
                  <c:v>0.1627613185968238</c:v>
                </c:pt>
                <c:pt idx="7">
                  <c:v>0.16012730880893133</c:v>
                </c:pt>
                <c:pt idx="8">
                  <c:v>0.15755754316220702</c:v>
                </c:pt>
                <c:pt idx="9">
                  <c:v>0.15505045472637841</c:v>
                </c:pt>
                <c:pt idx="10">
                  <c:v>0.15260451478898462</c:v>
                </c:pt>
                <c:pt idx="11">
                  <c:v>0.15021823192323458</c:v>
                </c:pt>
                <c:pt idx="12">
                  <c:v>0.1478901510786004</c:v>
                </c:pt>
                <c:pt idx="13">
                  <c:v>0.14561885269359146</c:v>
                </c:pt>
                <c:pt idx="14">
                  <c:v>0.14340295183016807</c:v>
                </c:pt>
                <c:pt idx="15">
                  <c:v>0.14124109732926726</c:v>
                </c:pt>
                <c:pt idx="16">
                  <c:v>0.13913197098692492</c:v>
                </c:pt>
                <c:pt idx="17">
                  <c:v>0.13707428675049343</c:v>
                </c:pt>
                <c:pt idx="18">
                  <c:v>0.13506678993446269</c:v>
                </c:pt>
                <c:pt idx="19">
                  <c:v>0.13310825645540836</c:v>
                </c:pt>
                <c:pt idx="20">
                  <c:v>0.13119749208559919</c:v>
                </c:pt>
                <c:pt idx="21">
                  <c:v>0.12933333172480976</c:v>
                </c:pt>
                <c:pt idx="22">
                  <c:v>0.12751463868989329</c:v>
                </c:pt>
                <c:pt idx="23">
                  <c:v>0.12574030402168207</c:v>
                </c:pt>
                <c:pt idx="24">
                  <c:v>0.12400924580879308</c:v>
                </c:pt>
                <c:pt idx="25">
                  <c:v>0.12232040852792576</c:v>
                </c:pt>
                <c:pt idx="26">
                  <c:v>0.12067276240025034</c:v>
                </c:pt>
                <c:pt idx="27">
                  <c:v>0.11906530276349382</c:v>
                </c:pt>
                <c:pt idx="28">
                  <c:v>0.11749704945934113</c:v>
                </c:pt>
                <c:pt idx="29">
                  <c:v>0.11313763666839309</c:v>
                </c:pt>
                <c:pt idx="30">
                  <c:v>5.4766917293233082E-2</c:v>
                </c:pt>
                <c:pt idx="31">
                  <c:v>5.4766917293233082E-2</c:v>
                </c:pt>
                <c:pt idx="32">
                  <c:v>5.4766917293233082E-2</c:v>
                </c:pt>
                <c:pt idx="33">
                  <c:v>5.4766917293233082E-2</c:v>
                </c:pt>
                <c:pt idx="34">
                  <c:v>5.4766917293233082E-2</c:v>
                </c:pt>
                <c:pt idx="35">
                  <c:v>5.4766917293233082E-2</c:v>
                </c:pt>
                <c:pt idx="36">
                  <c:v>5.4766917293233082E-2</c:v>
                </c:pt>
                <c:pt idx="37">
                  <c:v>5.4766917293233082E-2</c:v>
                </c:pt>
                <c:pt idx="38">
                  <c:v>5.4766917293233082E-2</c:v>
                </c:pt>
                <c:pt idx="39">
                  <c:v>5.4766917293233082E-2</c:v>
                </c:pt>
                <c:pt idx="40">
                  <c:v>5.4766917293233082E-2</c:v>
                </c:pt>
                <c:pt idx="41">
                  <c:v>5.4766917293233082E-2</c:v>
                </c:pt>
                <c:pt idx="42">
                  <c:v>5.4766917293233082E-2</c:v>
                </c:pt>
                <c:pt idx="43">
                  <c:v>5.4766917293233082E-2</c:v>
                </c:pt>
                <c:pt idx="44">
                  <c:v>5.4766917293233082E-2</c:v>
                </c:pt>
                <c:pt idx="45">
                  <c:v>5.4766917293233082E-2</c:v>
                </c:pt>
                <c:pt idx="46">
                  <c:v>5.4766917293233082E-2</c:v>
                </c:pt>
                <c:pt idx="47">
                  <c:v>5.4766917293233082E-2</c:v>
                </c:pt>
                <c:pt idx="48">
                  <c:v>5.4766917293233082E-2</c:v>
                </c:pt>
                <c:pt idx="49">
                  <c:v>5.4766917293233082E-2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graphs!$C$88</c:f>
              <c:strCache>
                <c:ptCount val="1"/>
                <c:pt idx="0">
                  <c:v>Susitna Case 2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graphs!$D$85:$BA$85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graphs!$D$88:$BA$88</c:f>
              <c:numCache>
                <c:formatCode>_(* #,##0.00_);_(* \(#,##0.00\);_(* "-"??_);_(@_)</c:formatCode>
                <c:ptCount val="50"/>
                <c:pt idx="0">
                  <c:v>0.26285171337904911</c:v>
                </c:pt>
                <c:pt idx="1">
                  <c:v>0.2577764744501268</c:v>
                </c:pt>
                <c:pt idx="2">
                  <c:v>0.25282502183654409</c:v>
                </c:pt>
                <c:pt idx="3">
                  <c:v>0.24799433635987794</c:v>
                </c:pt>
                <c:pt idx="4">
                  <c:v>0.24328147248020371</c:v>
                </c:pt>
                <c:pt idx="5">
                  <c:v>0.23868355650003376</c:v>
                </c:pt>
                <c:pt idx="6">
                  <c:v>0.23419778481206299</c:v>
                </c:pt>
                <c:pt idx="7">
                  <c:v>0.22982142218965251</c:v>
                </c:pt>
                <c:pt idx="8">
                  <c:v>0.22555180011900816</c:v>
                </c:pt>
                <c:pt idx="9">
                  <c:v>0.22138631517203805</c:v>
                </c:pt>
                <c:pt idx="10">
                  <c:v>0.21732242741889651</c:v>
                </c:pt>
                <c:pt idx="11">
                  <c:v>0.21335765887924618</c:v>
                </c:pt>
                <c:pt idx="12">
                  <c:v>0.20948959201129469</c:v>
                </c:pt>
                <c:pt idx="13">
                  <c:v>0.2057158682376834</c:v>
                </c:pt>
                <c:pt idx="14">
                  <c:v>0.20203418650733096</c:v>
                </c:pt>
                <c:pt idx="15">
                  <c:v>0.19844230189235296</c:v>
                </c:pt>
                <c:pt idx="16">
                  <c:v>0.1949380242192037</c:v>
                </c:pt>
                <c:pt idx="17">
                  <c:v>0.19151921673320449</c:v>
                </c:pt>
                <c:pt idx="18">
                  <c:v>0.18818379479564418</c:v>
                </c:pt>
                <c:pt idx="19">
                  <c:v>0.18492972461265861</c:v>
                </c:pt>
                <c:pt idx="20">
                  <c:v>0.18175502199511162</c:v>
                </c:pt>
                <c:pt idx="21">
                  <c:v>0.17865775114872434</c:v>
                </c:pt>
                <c:pt idx="22">
                  <c:v>0.17563602349371238</c:v>
                </c:pt>
                <c:pt idx="23">
                  <c:v>0.17268799651321293</c:v>
                </c:pt>
                <c:pt idx="24">
                  <c:v>0.1698118726297988</c:v>
                </c:pt>
                <c:pt idx="25">
                  <c:v>5.4766917293233082E-2</c:v>
                </c:pt>
                <c:pt idx="26">
                  <c:v>5.4766917293233082E-2</c:v>
                </c:pt>
                <c:pt idx="27">
                  <c:v>5.4766917293233082E-2</c:v>
                </c:pt>
                <c:pt idx="28">
                  <c:v>5.4766917293233082E-2</c:v>
                </c:pt>
                <c:pt idx="29">
                  <c:v>5.4766917293233082E-2</c:v>
                </c:pt>
                <c:pt idx="30">
                  <c:v>5.4766917293233082E-2</c:v>
                </c:pt>
                <c:pt idx="31">
                  <c:v>5.4766917293233082E-2</c:v>
                </c:pt>
                <c:pt idx="32">
                  <c:v>5.4766917293233082E-2</c:v>
                </c:pt>
                <c:pt idx="33">
                  <c:v>5.4766917293233082E-2</c:v>
                </c:pt>
                <c:pt idx="34">
                  <c:v>5.4766917293233082E-2</c:v>
                </c:pt>
                <c:pt idx="35">
                  <c:v>5.4766917293233082E-2</c:v>
                </c:pt>
                <c:pt idx="36">
                  <c:v>5.4766917293233082E-2</c:v>
                </c:pt>
                <c:pt idx="37">
                  <c:v>5.4766917293233082E-2</c:v>
                </c:pt>
                <c:pt idx="38">
                  <c:v>5.4766917293233082E-2</c:v>
                </c:pt>
                <c:pt idx="39">
                  <c:v>5.4766917293233082E-2</c:v>
                </c:pt>
                <c:pt idx="40">
                  <c:v>5.4766917293233082E-2</c:v>
                </c:pt>
                <c:pt idx="41">
                  <c:v>5.4766917293233082E-2</c:v>
                </c:pt>
                <c:pt idx="42">
                  <c:v>5.4766917293233082E-2</c:v>
                </c:pt>
                <c:pt idx="43">
                  <c:v>5.4766917293233082E-2</c:v>
                </c:pt>
                <c:pt idx="44">
                  <c:v>5.4766917293233082E-2</c:v>
                </c:pt>
                <c:pt idx="45">
                  <c:v>5.4766917293233082E-2</c:v>
                </c:pt>
                <c:pt idx="46">
                  <c:v>5.4766917293233082E-2</c:v>
                </c:pt>
                <c:pt idx="47">
                  <c:v>5.4766917293233082E-2</c:v>
                </c:pt>
                <c:pt idx="48">
                  <c:v>5.4766917293233082E-2</c:v>
                </c:pt>
                <c:pt idx="49">
                  <c:v>5.4766917293233082E-2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graphs!$C$89</c:f>
              <c:strCache>
                <c:ptCount val="1"/>
                <c:pt idx="0">
                  <c:v>Susitna Case 3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graphs!$D$85:$BA$85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graphs!$D$89:$BA$89</c:f>
              <c:numCache>
                <c:formatCode>_(* #,##0.00_);_(* \(#,##0.00\);_(* "-"??_);_(@_)</c:formatCode>
                <c:ptCount val="50"/>
                <c:pt idx="0">
                  <c:v>0.14994020566369887</c:v>
                </c:pt>
                <c:pt idx="1">
                  <c:v>0.14761890594145152</c:v>
                </c:pt>
                <c:pt idx="2">
                  <c:v>0.14535422328560046</c:v>
                </c:pt>
                <c:pt idx="3">
                  <c:v>0.1431447767920872</c:v>
                </c:pt>
                <c:pt idx="4">
                  <c:v>0.14098921923744015</c:v>
                </c:pt>
                <c:pt idx="5">
                  <c:v>0.13888623625729668</c:v>
                </c:pt>
                <c:pt idx="6">
                  <c:v>0.13683454554496158</c:v>
                </c:pt>
                <c:pt idx="7">
                  <c:v>0.13483289606951271</c:v>
                </c:pt>
                <c:pt idx="8">
                  <c:v>0.13288006731297725</c:v>
                </c:pt>
                <c:pt idx="9">
                  <c:v>0.13097486852611334</c:v>
                </c:pt>
                <c:pt idx="10">
                  <c:v>0.1291161380023437</c:v>
                </c:pt>
                <c:pt idx="11">
                  <c:v>0.1273027423693977</c:v>
                </c:pt>
                <c:pt idx="12">
                  <c:v>0.12553357589823086</c:v>
                </c:pt>
                <c:pt idx="13">
                  <c:v>0.12380755982879982</c:v>
                </c:pt>
                <c:pt idx="14">
                  <c:v>0.12212364171228171</c:v>
                </c:pt>
                <c:pt idx="15">
                  <c:v>0.12048079476933722</c:v>
                </c:pt>
                <c:pt idx="16">
                  <c:v>0.11887801726402553</c:v>
                </c:pt>
                <c:pt idx="17">
                  <c:v>0.11731433189298975</c:v>
                </c:pt>
                <c:pt idx="18">
                  <c:v>0.11578878518954017</c:v>
                </c:pt>
                <c:pt idx="19">
                  <c:v>0.11430044694227229</c:v>
                </c:pt>
                <c:pt idx="20">
                  <c:v>0.11284840962786463</c:v>
                </c:pt>
                <c:pt idx="21">
                  <c:v>0.1114317878577108</c:v>
                </c:pt>
                <c:pt idx="22">
                  <c:v>0.11004971783804852</c:v>
                </c:pt>
                <c:pt idx="23">
                  <c:v>0.10870135684325608</c:v>
                </c:pt>
                <c:pt idx="24">
                  <c:v>0.10738588270199514</c:v>
                </c:pt>
                <c:pt idx="25">
                  <c:v>0.10610249329588692</c:v>
                </c:pt>
                <c:pt idx="26">
                  <c:v>0.10485040607041546</c:v>
                </c:pt>
                <c:pt idx="27">
                  <c:v>0.10362885755776038</c:v>
                </c:pt>
                <c:pt idx="28">
                  <c:v>0.10243710291126763</c:v>
                </c:pt>
                <c:pt idx="29">
                  <c:v>9.95207390410284E-2</c:v>
                </c:pt>
                <c:pt idx="30">
                  <c:v>5.4766917051557479E-2</c:v>
                </c:pt>
                <c:pt idx="31">
                  <c:v>5.4766917051557479E-2</c:v>
                </c:pt>
                <c:pt idx="32">
                  <c:v>5.4766917051557479E-2</c:v>
                </c:pt>
                <c:pt idx="33">
                  <c:v>5.4766917051557479E-2</c:v>
                </c:pt>
                <c:pt idx="34">
                  <c:v>5.4766917051557479E-2</c:v>
                </c:pt>
                <c:pt idx="35">
                  <c:v>5.4766917051557479E-2</c:v>
                </c:pt>
                <c:pt idx="36">
                  <c:v>5.4766917051557479E-2</c:v>
                </c:pt>
                <c:pt idx="37">
                  <c:v>5.4766917051557479E-2</c:v>
                </c:pt>
                <c:pt idx="38">
                  <c:v>5.4766917051557479E-2</c:v>
                </c:pt>
                <c:pt idx="39">
                  <c:v>5.4766917051557479E-2</c:v>
                </c:pt>
                <c:pt idx="40">
                  <c:v>5.4766917051557479E-2</c:v>
                </c:pt>
                <c:pt idx="41">
                  <c:v>5.4766917051557479E-2</c:v>
                </c:pt>
                <c:pt idx="42">
                  <c:v>5.4766917051557479E-2</c:v>
                </c:pt>
                <c:pt idx="43">
                  <c:v>5.4766917051557479E-2</c:v>
                </c:pt>
                <c:pt idx="44">
                  <c:v>5.4766917051557479E-2</c:v>
                </c:pt>
                <c:pt idx="45">
                  <c:v>5.4766917051557479E-2</c:v>
                </c:pt>
                <c:pt idx="46">
                  <c:v>5.4766917051557479E-2</c:v>
                </c:pt>
                <c:pt idx="47">
                  <c:v>5.4766917051557479E-2</c:v>
                </c:pt>
                <c:pt idx="48">
                  <c:v>5.4766917051557479E-2</c:v>
                </c:pt>
                <c:pt idx="49">
                  <c:v>5.4766917051557479E-2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graphs!$C$90</c:f>
              <c:strCache>
                <c:ptCount val="1"/>
                <c:pt idx="0">
                  <c:v>Natural Gas Case 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3"/>
            <c:spPr>
              <a:ln>
                <a:noFill/>
              </a:ln>
            </c:spPr>
          </c:marker>
          <c:cat>
            <c:numRef>
              <c:f>graphs!$D$85:$BA$85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graphs!$D$90:$AG$90</c:f>
              <c:numCache>
                <c:formatCode>_(* #,##0.00_);_(* \(#,##0.00\);_(* "-"??_);_(@_)</c:formatCode>
                <c:ptCount val="30"/>
                <c:pt idx="0">
                  <c:v>0.15879667999134611</c:v>
                </c:pt>
                <c:pt idx="1">
                  <c:v>0.1578734070297253</c:v>
                </c:pt>
                <c:pt idx="2">
                  <c:v>0.15628062609417293</c:v>
                </c:pt>
                <c:pt idx="3">
                  <c:v>0.15417357605265505</c:v>
                </c:pt>
                <c:pt idx="4">
                  <c:v>0.15262648657338618</c:v>
                </c:pt>
                <c:pt idx="5">
                  <c:v>0.15054016560756434</c:v>
                </c:pt>
                <c:pt idx="6">
                  <c:v>0.14844807169991642</c:v>
                </c:pt>
                <c:pt idx="7">
                  <c:v>0.14683359791429262</c:v>
                </c:pt>
                <c:pt idx="8">
                  <c:v>0.14552345548584494</c:v>
                </c:pt>
                <c:pt idx="9">
                  <c:v>0.1436733835552837</c:v>
                </c:pt>
                <c:pt idx="10">
                  <c:v>0.1418595083575383</c:v>
                </c:pt>
                <c:pt idx="11">
                  <c:v>0.14029889582060001</c:v>
                </c:pt>
                <c:pt idx="12">
                  <c:v>0.13778540522780586</c:v>
                </c:pt>
                <c:pt idx="13">
                  <c:v>0.13501199799311026</c:v>
                </c:pt>
                <c:pt idx="14">
                  <c:v>0.13268836433474898</c:v>
                </c:pt>
                <c:pt idx="15">
                  <c:v>0.12979906962383198</c:v>
                </c:pt>
                <c:pt idx="16">
                  <c:v>0.12919814552247622</c:v>
                </c:pt>
                <c:pt idx="17">
                  <c:v>0.12756799479553102</c:v>
                </c:pt>
                <c:pt idx="18">
                  <c:v>0.12655916718903387</c:v>
                </c:pt>
                <c:pt idx="19">
                  <c:v>0.12527025821062304</c:v>
                </c:pt>
                <c:pt idx="20">
                  <c:v>0.12455935266528517</c:v>
                </c:pt>
                <c:pt idx="21">
                  <c:v>0.12333084963281518</c:v>
                </c:pt>
                <c:pt idx="22">
                  <c:v>0.12235301371923712</c:v>
                </c:pt>
                <c:pt idx="23">
                  <c:v>0.12112299614746969</c:v>
                </c:pt>
                <c:pt idx="24">
                  <c:v>0.1204497307011571</c:v>
                </c:pt>
                <c:pt idx="25">
                  <c:v>0.11924585201980725</c:v>
                </c:pt>
                <c:pt idx="26">
                  <c:v>0.11809163156431521</c:v>
                </c:pt>
                <c:pt idx="27">
                  <c:v>0.11692596218102394</c:v>
                </c:pt>
                <c:pt idx="28">
                  <c:v>0.11629455315092362</c:v>
                </c:pt>
                <c:pt idx="29">
                  <c:v>0.11445016990993634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graphs!$C$91</c:f>
              <c:strCache>
                <c:ptCount val="1"/>
                <c:pt idx="0">
                  <c:v>Natural Gas Case 2</c:v>
                </c:pt>
              </c:strCache>
            </c:strRef>
          </c:tx>
          <c:spPr>
            <a:ln w="22225"/>
          </c:spPr>
          <c:marker>
            <c:symbol val="triangle"/>
            <c:size val="3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graphs!$D$85:$BA$85</c:f>
              <c:numCache>
                <c:formatCode>General</c:formatCode>
                <c:ptCount val="5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</c:numCache>
            </c:numRef>
          </c:cat>
          <c:val>
            <c:numRef>
              <c:f>graphs!$D$91:$AG$91</c:f>
              <c:numCache>
                <c:formatCode>_(* #,##0.00_);_(* \(#,##0.00\);_(* "-"??_);_(@_)</c:formatCode>
                <c:ptCount val="30"/>
                <c:pt idx="0">
                  <c:v>0.25517470002689269</c:v>
                </c:pt>
                <c:pt idx="1">
                  <c:v>0.25705041792844502</c:v>
                </c:pt>
                <c:pt idx="2">
                  <c:v>0.25902401013021614</c:v>
                </c:pt>
                <c:pt idx="3">
                  <c:v>0.26108295473014698</c:v>
                </c:pt>
                <c:pt idx="4">
                  <c:v>0.26323848988540682</c:v>
                </c:pt>
                <c:pt idx="5">
                  <c:v>0.26547812500478746</c:v>
                </c:pt>
                <c:pt idx="6">
                  <c:v>0.26781312879262986</c:v>
                </c:pt>
                <c:pt idx="7">
                  <c:v>0.27024291256510774</c:v>
                </c:pt>
                <c:pt idx="8">
                  <c:v>0.27277877410179985</c:v>
                </c:pt>
                <c:pt idx="9">
                  <c:v>0.27539640887443917</c:v>
                </c:pt>
                <c:pt idx="10">
                  <c:v>0.27833271233683443</c:v>
                </c:pt>
                <c:pt idx="11">
                  <c:v>0.28138532538101968</c:v>
                </c:pt>
                <c:pt idx="12">
                  <c:v>0.28454185559100792</c:v>
                </c:pt>
                <c:pt idx="13">
                  <c:v>0.28780179534658062</c:v>
                </c:pt>
                <c:pt idx="14">
                  <c:v>0.29117652151376311</c:v>
                </c:pt>
                <c:pt idx="15">
                  <c:v>0.29467742303758682</c:v>
                </c:pt>
                <c:pt idx="16">
                  <c:v>0.29828028433168968</c:v>
                </c:pt>
                <c:pt idx="17">
                  <c:v>0.29754447814878604</c:v>
                </c:pt>
                <c:pt idx="18">
                  <c:v>0.29682661845814845</c:v>
                </c:pt>
                <c:pt idx="19">
                  <c:v>0.29612626754045318</c:v>
                </c:pt>
                <c:pt idx="20">
                  <c:v>0.2954429983524578</c:v>
                </c:pt>
                <c:pt idx="21">
                  <c:v>0.27317345250984842</c:v>
                </c:pt>
                <c:pt idx="22">
                  <c:v>0.26811223083264285</c:v>
                </c:pt>
                <c:pt idx="23">
                  <c:v>0.26811223083264285</c:v>
                </c:pt>
                <c:pt idx="24">
                  <c:v>0.26811223083264285</c:v>
                </c:pt>
                <c:pt idx="25">
                  <c:v>0.26811223083264285</c:v>
                </c:pt>
                <c:pt idx="26">
                  <c:v>0.26811223083264285</c:v>
                </c:pt>
                <c:pt idx="27">
                  <c:v>0.26811223083264285</c:v>
                </c:pt>
                <c:pt idx="28">
                  <c:v>0.26811223083264285</c:v>
                </c:pt>
                <c:pt idx="29">
                  <c:v>0.26811223083264285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70704"/>
        <c:axId val="240169920"/>
      </c:lineChart>
      <c:catAx>
        <c:axId val="24017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169920"/>
        <c:crosses val="autoZero"/>
        <c:auto val="1"/>
        <c:lblAlgn val="ctr"/>
        <c:lblOffset val="100"/>
        <c:noMultiLvlLbl val="0"/>
      </c:catAx>
      <c:valAx>
        <c:axId val="24016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2012  $ per kWh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4017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'Gas price projections'!$C$7</c:f>
              <c:strCache>
                <c:ptCount val="1"/>
                <c:pt idx="0">
                  <c:v>AEO 2013 reference case Henry Hub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'Gas price projections'!$E$5:$AV$5</c:f>
              <c:numCache>
                <c:formatCode>General</c:formatCode>
                <c:ptCount val="4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</c:numCache>
            </c:numRef>
          </c:cat>
          <c:val>
            <c:numRef>
              <c:f>'Gas price projections'!$E$7:$AI$7</c:f>
              <c:numCache>
                <c:formatCode>_(* #,##0.00_);_(* \(#,##0.00\);_(* "-"??_);_(@_)</c:formatCode>
                <c:ptCount val="31"/>
                <c:pt idx="0">
                  <c:v>4.5419221552028217</c:v>
                </c:pt>
                <c:pt idx="1">
                  <c:v>4.0501940035273369</c:v>
                </c:pt>
                <c:pt idx="2">
                  <c:v>2.6646124585537923</c:v>
                </c:pt>
                <c:pt idx="3">
                  <c:v>3.3081689506172842</c:v>
                </c:pt>
                <c:pt idx="4">
                  <c:v>3.177118716049383</c:v>
                </c:pt>
                <c:pt idx="5">
                  <c:v>3.1733178430335101</c:v>
                </c:pt>
                <c:pt idx="6">
                  <c:v>3.6286756596119933</c:v>
                </c:pt>
                <c:pt idx="7">
                  <c:v>3.7623290088183428</c:v>
                </c:pt>
                <c:pt idx="8">
                  <c:v>4.0275943280423281</c:v>
                </c:pt>
                <c:pt idx="9">
                  <c:v>4.1179156895943567</c:v>
                </c:pt>
                <c:pt idx="10">
                  <c:v>4.2067797954144623</c:v>
                </c:pt>
                <c:pt idx="11">
                  <c:v>4.333209959435627</c:v>
                </c:pt>
                <c:pt idx="12">
                  <c:v>4.555625650793651</c:v>
                </c:pt>
                <c:pt idx="13">
                  <c:v>4.7566027901234573</c:v>
                </c:pt>
                <c:pt idx="14">
                  <c:v>4.8714227372134049</c:v>
                </c:pt>
                <c:pt idx="15">
                  <c:v>4.9564941111111125</c:v>
                </c:pt>
                <c:pt idx="16">
                  <c:v>5.1086765890652561</c:v>
                </c:pt>
                <c:pt idx="17">
                  <c:v>5.1838341463844806</c:v>
                </c:pt>
                <c:pt idx="18">
                  <c:v>5.3113735343915351</c:v>
                </c:pt>
                <c:pt idx="19">
                  <c:v>5.3922441040564379</c:v>
                </c:pt>
                <c:pt idx="20">
                  <c:v>5.4928670017636687</c:v>
                </c:pt>
                <c:pt idx="21">
                  <c:v>5.6325651128747802</c:v>
                </c:pt>
                <c:pt idx="22">
                  <c:v>5.7298338800705473</c:v>
                </c:pt>
                <c:pt idx="23">
                  <c:v>5.8740859153439153</c:v>
                </c:pt>
                <c:pt idx="24">
                  <c:v>6.1426229365079363</c:v>
                </c:pt>
                <c:pt idx="25">
                  <c:v>6.4334126190476191</c:v>
                </c:pt>
                <c:pt idx="26">
                  <c:v>6.8121393403880077</c:v>
                </c:pt>
                <c:pt idx="27">
                  <c:v>7.163072368606703</c:v>
                </c:pt>
                <c:pt idx="28">
                  <c:v>7.5518594462081134</c:v>
                </c:pt>
                <c:pt idx="29">
                  <c:v>7.7228844850088185</c:v>
                </c:pt>
                <c:pt idx="30">
                  <c:v>7.9667041287477964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'Gas price projections'!$C$9</c:f>
              <c:strCache>
                <c:ptCount val="1"/>
                <c:pt idx="0">
                  <c:v>Fay July 2012 reference case based on Henry Hub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'Gas price projections'!$E$5:$AV$5</c:f>
              <c:numCache>
                <c:formatCode>General</c:formatCode>
                <c:ptCount val="4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</c:numCache>
            </c:numRef>
          </c:cat>
          <c:val>
            <c:numRef>
              <c:f>'Gas price projections'!$E$9:$AD$9</c:f>
              <c:numCache>
                <c:formatCode>_(* #,##0.00_);_(* \(#,##0.00\);_(* "-"??_);_(@_)</c:formatCode>
                <c:ptCount val="26"/>
                <c:pt idx="0">
                  <c:v>6.7549300000000017</c:v>
                </c:pt>
                <c:pt idx="1">
                  <c:v>6.9358230000000276</c:v>
                </c:pt>
                <c:pt idx="2">
                  <c:v>7.1167159999999967</c:v>
                </c:pt>
                <c:pt idx="3">
                  <c:v>7.2976090000000227</c:v>
                </c:pt>
                <c:pt idx="4">
                  <c:v>7.4785020000000486</c:v>
                </c:pt>
                <c:pt idx="5">
                  <c:v>7.6593950000000177</c:v>
                </c:pt>
                <c:pt idx="6">
                  <c:v>7.8402880000000437</c:v>
                </c:pt>
                <c:pt idx="7">
                  <c:v>8.0211810000000128</c:v>
                </c:pt>
                <c:pt idx="8">
                  <c:v>8.2020740000000387</c:v>
                </c:pt>
                <c:pt idx="9">
                  <c:v>8.3829670000000078</c:v>
                </c:pt>
                <c:pt idx="10">
                  <c:v>8.5638600000000338</c:v>
                </c:pt>
                <c:pt idx="11">
                  <c:v>8.7447530000000029</c:v>
                </c:pt>
                <c:pt idx="12">
                  <c:v>8.9256460000000288</c:v>
                </c:pt>
                <c:pt idx="13">
                  <c:v>9.1065389999999979</c:v>
                </c:pt>
                <c:pt idx="14">
                  <c:v>9.2874320000000239</c:v>
                </c:pt>
                <c:pt idx="15">
                  <c:v>9.4683250000000498</c:v>
                </c:pt>
                <c:pt idx="16">
                  <c:v>9.4121999999999986</c:v>
                </c:pt>
                <c:pt idx="17">
                  <c:v>9.3968999999999987</c:v>
                </c:pt>
                <c:pt idx="18">
                  <c:v>9.3815999999999988</c:v>
                </c:pt>
                <c:pt idx="19">
                  <c:v>9.366299999999999</c:v>
                </c:pt>
                <c:pt idx="20">
                  <c:v>9.3509999999999991</c:v>
                </c:pt>
                <c:pt idx="21">
                  <c:v>9.3356999999999992</c:v>
                </c:pt>
                <c:pt idx="22">
                  <c:v>9.3203999999999994</c:v>
                </c:pt>
                <c:pt idx="23">
                  <c:v>9.3050999999999995</c:v>
                </c:pt>
                <c:pt idx="24">
                  <c:v>9.2897999999999996</c:v>
                </c:pt>
                <c:pt idx="25">
                  <c:v>9.2744999999999962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'Gas price projections'!$C$10</c:f>
              <c:strCache>
                <c:ptCount val="1"/>
                <c:pt idx="0">
                  <c:v>High: LNG import gas price based on AEO Brent projection</c:v>
                </c:pt>
              </c:strCache>
            </c:strRef>
          </c:tx>
          <c:marker>
            <c:symbol val="none"/>
          </c:marker>
          <c:val>
            <c:numRef>
              <c:f>'Gas price projections'!$E$10:$AV$10</c:f>
              <c:numCache>
                <c:formatCode>_(* #,##0.00_);_(* \(#,##0.00\);_(* "-"??_);_(@_)</c:formatCode>
                <c:ptCount val="44"/>
                <c:pt idx="2">
                  <c:v>19.259889999999999</c:v>
                </c:pt>
                <c:pt idx="3">
                  <c:v>17.419795000000001</c:v>
                </c:pt>
                <c:pt idx="4">
                  <c:v>17.450695</c:v>
                </c:pt>
                <c:pt idx="5">
                  <c:v>17.279199999999999</c:v>
                </c:pt>
                <c:pt idx="6">
                  <c:v>17.450695</c:v>
                </c:pt>
                <c:pt idx="7">
                  <c:v>17.776689999999999</c:v>
                </c:pt>
                <c:pt idx="8">
                  <c:v>18.110410000000002</c:v>
                </c:pt>
                <c:pt idx="9">
                  <c:v>18.451854999999998</c:v>
                </c:pt>
                <c:pt idx="10">
                  <c:v>18.799479999999999</c:v>
                </c:pt>
                <c:pt idx="11">
                  <c:v>19.154829999999997</c:v>
                </c:pt>
                <c:pt idx="12">
                  <c:v>19.516359999999999</c:v>
                </c:pt>
                <c:pt idx="13">
                  <c:v>19.887159999999998</c:v>
                </c:pt>
                <c:pt idx="14">
                  <c:v>20.265685000000001</c:v>
                </c:pt>
                <c:pt idx="15">
                  <c:v>20.651935000000002</c:v>
                </c:pt>
                <c:pt idx="16">
                  <c:v>21.047454999999999</c:v>
                </c:pt>
                <c:pt idx="17">
                  <c:v>21.450699999999998</c:v>
                </c:pt>
                <c:pt idx="18">
                  <c:v>21.863214999999997</c:v>
                </c:pt>
                <c:pt idx="19">
                  <c:v>22.283455</c:v>
                </c:pt>
                <c:pt idx="20">
                  <c:v>22.712965000000001</c:v>
                </c:pt>
                <c:pt idx="21">
                  <c:v>23.151745000000002</c:v>
                </c:pt>
                <c:pt idx="22">
                  <c:v>23.60134</c:v>
                </c:pt>
                <c:pt idx="23">
                  <c:v>24.058659999999996</c:v>
                </c:pt>
                <c:pt idx="24">
                  <c:v>24.554604999999999</c:v>
                </c:pt>
                <c:pt idx="25">
                  <c:v>25.062909999999999</c:v>
                </c:pt>
                <c:pt idx="26">
                  <c:v>25.58203</c:v>
                </c:pt>
                <c:pt idx="27">
                  <c:v>26.111965000000001</c:v>
                </c:pt>
                <c:pt idx="28">
                  <c:v>26.654260000000001</c:v>
                </c:pt>
                <c:pt idx="29">
                  <c:v>27.210459999999998</c:v>
                </c:pt>
                <c:pt idx="30">
                  <c:v>27.777474999999999</c:v>
                </c:pt>
                <c:pt idx="31">
                  <c:v>27.777474999999999</c:v>
                </c:pt>
                <c:pt idx="32">
                  <c:v>27.777474999999999</c:v>
                </c:pt>
                <c:pt idx="33">
                  <c:v>27.777474999999999</c:v>
                </c:pt>
                <c:pt idx="34">
                  <c:v>27.777474999999999</c:v>
                </c:pt>
                <c:pt idx="35">
                  <c:v>27.777474999999999</c:v>
                </c:pt>
                <c:pt idx="36">
                  <c:v>27.777474999999999</c:v>
                </c:pt>
                <c:pt idx="37">
                  <c:v>27.777474999999999</c:v>
                </c:pt>
                <c:pt idx="38">
                  <c:v>27.777474999999999</c:v>
                </c:pt>
                <c:pt idx="39">
                  <c:v>27.777474999999999</c:v>
                </c:pt>
                <c:pt idx="40">
                  <c:v>27.777474999999999</c:v>
                </c:pt>
                <c:pt idx="41">
                  <c:v>27.777474999999999</c:v>
                </c:pt>
                <c:pt idx="42">
                  <c:v>27.777474999999999</c:v>
                </c:pt>
                <c:pt idx="43">
                  <c:v>27.777474999999999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'Gas price projections'!$C$8</c:f>
              <c:strCache>
                <c:ptCount val="1"/>
                <c:pt idx="0">
                  <c:v>Low: Black &amp; Veatch 2010 Railbelt IRP</c:v>
                </c:pt>
              </c:strCache>
            </c:strRef>
          </c:tx>
          <c:marker>
            <c:symbol val="none"/>
          </c:marker>
          <c:cat>
            <c:numRef>
              <c:f>'Gas price projections'!$E$5:$AV$5</c:f>
              <c:numCache>
                <c:formatCode>General</c:formatCode>
                <c:ptCount val="4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</c:numCache>
            </c:numRef>
          </c:cat>
          <c:val>
            <c:numRef>
              <c:f>'Gas price projections'!$E$8:$AV$8</c:f>
              <c:numCache>
                <c:formatCode>_(* #,##0.00_);_(* \(#,##0.00\);_(* "-"??_);_(@_)</c:formatCode>
                <c:ptCount val="44"/>
                <c:pt idx="1">
                  <c:v>6.4574999999999996</c:v>
                </c:pt>
                <c:pt idx="2">
                  <c:v>6.62</c:v>
                </c:pt>
                <c:pt idx="3">
                  <c:v>6.946341463414635</c:v>
                </c:pt>
                <c:pt idx="4">
                  <c:v>7.0624628197501496</c:v>
                </c:pt>
                <c:pt idx="5">
                  <c:v>7.1502154640820663</c:v>
                </c:pt>
                <c:pt idx="6">
                  <c:v>7.2929026906380283</c:v>
                </c:pt>
                <c:pt idx="7">
                  <c:v>7.1415426438848986</c:v>
                </c:pt>
                <c:pt idx="8">
                  <c:v>7.1139491441741631</c:v>
                </c:pt>
                <c:pt idx="9">
                  <c:v>7.5966250728032758</c:v>
                </c:pt>
                <c:pt idx="10">
                  <c:v>8.6999136506187753</c:v>
                </c:pt>
                <c:pt idx="11">
                  <c:v>8.976164935429038</c:v>
                </c:pt>
                <c:pt idx="12">
                  <c:v>9.2103291563463241</c:v>
                </c:pt>
                <c:pt idx="13">
                  <c:v>9.4734596423910151</c:v>
                </c:pt>
                <c:pt idx="14">
                  <c:v>9.495208652028591</c:v>
                </c:pt>
                <c:pt idx="15">
                  <c:v>9.4739901060407146</c:v>
                </c:pt>
                <c:pt idx="16">
                  <c:v>9.3632307999042812</c:v>
                </c:pt>
                <c:pt idx="17">
                  <c:v>9.1831919059585161</c:v>
                </c:pt>
                <c:pt idx="18">
                  <c:v>9.0737278542645328</c:v>
                </c:pt>
                <c:pt idx="19">
                  <c:v>8.8918491222191403</c:v>
                </c:pt>
                <c:pt idx="20">
                  <c:v>8.7070330488515815</c:v>
                </c:pt>
                <c:pt idx="21">
                  <c:v>8.5822402694237372</c:v>
                </c:pt>
                <c:pt idx="22">
                  <c:v>8.4949715245949253</c:v>
                </c:pt>
                <c:pt idx="23">
                  <c:v>8.3354080000230564</c:v>
                </c:pt>
                <c:pt idx="24">
                  <c:v>8.1785745393954468</c:v>
                </c:pt>
                <c:pt idx="25">
                  <c:v>8.0527677525505332</c:v>
                </c:pt>
                <c:pt idx="26">
                  <c:v>7.8010712475575792</c:v>
                </c:pt>
                <c:pt idx="27">
                  <c:v>7.5137109110284754</c:v>
                </c:pt>
                <c:pt idx="28">
                  <c:v>7.2830885443688205</c:v>
                </c:pt>
                <c:pt idx="29">
                  <c:v>6.9771023063564277</c:v>
                </c:pt>
                <c:pt idx="30">
                  <c:v>6.9672099701299679</c:v>
                </c:pt>
                <c:pt idx="31">
                  <c:v>6.8217110822545193</c:v>
                </c:pt>
                <c:pt idx="32">
                  <c:v>6.7554438490143633</c:v>
                </c:pt>
                <c:pt idx="33">
                  <c:v>6.6511418517930645</c:v>
                </c:pt>
                <c:pt idx="34">
                  <c:v>6.6205123395982142</c:v>
                </c:pt>
                <c:pt idx="35">
                  <c:v>6.5210148456030161</c:v>
                </c:pt>
                <c:pt idx="36">
                  <c:v>6.4526658250664193</c:v>
                </c:pt>
                <c:pt idx="37">
                  <c:v>6.3500619704019954</c:v>
                </c:pt>
                <c:pt idx="38">
                  <c:v>6.3185105271386321</c:v>
                </c:pt>
                <c:pt idx="39">
                  <c:v>6.2165392304075926</c:v>
                </c:pt>
                <c:pt idx="40">
                  <c:v>6.1196962117120215</c:v>
                </c:pt>
                <c:pt idx="41">
                  <c:v>6.0200617091072663</c:v>
                </c:pt>
                <c:pt idx="42">
                  <c:v>5.9886844290607257</c:v>
                </c:pt>
                <c:pt idx="43">
                  <c:v>5.8898540586745778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71096"/>
        <c:axId val="240173840"/>
      </c:lineChart>
      <c:catAx>
        <c:axId val="24017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173840"/>
        <c:crosses val="autoZero"/>
        <c:auto val="1"/>
        <c:lblAlgn val="ctr"/>
        <c:lblOffset val="100"/>
        <c:noMultiLvlLbl val="0"/>
      </c:catAx>
      <c:valAx>
        <c:axId val="24017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2012 $ per million btu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40171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27</xdr:row>
      <xdr:rowOff>28575</xdr:rowOff>
    </xdr:from>
    <xdr:to>
      <xdr:col>24</xdr:col>
      <xdr:colOff>600075</xdr:colOff>
      <xdr:row>40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19049</xdr:colOff>
      <xdr:row>224</xdr:row>
      <xdr:rowOff>28575</xdr:rowOff>
    </xdr:from>
    <xdr:to>
      <xdr:col>55</xdr:col>
      <xdr:colOff>180974</xdr:colOff>
      <xdr:row>241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28575</xdr:rowOff>
    </xdr:from>
    <xdr:to>
      <xdr:col>3</xdr:col>
      <xdr:colOff>514350</xdr:colOff>
      <xdr:row>63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10</xdr:col>
      <xdr:colOff>304800</xdr:colOff>
      <xdr:row>33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39</xdr:row>
      <xdr:rowOff>9525</xdr:rowOff>
    </xdr:from>
    <xdr:to>
      <xdr:col>10</xdr:col>
      <xdr:colOff>314325</xdr:colOff>
      <xdr:row>53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28574</xdr:colOff>
      <xdr:row>64</xdr:row>
      <xdr:rowOff>190499</xdr:rowOff>
    </xdr:from>
    <xdr:to>
      <xdr:col>11</xdr:col>
      <xdr:colOff>495299</xdr:colOff>
      <xdr:row>82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92</xdr:row>
      <xdr:rowOff>0</xdr:rowOff>
    </xdr:from>
    <xdr:to>
      <xdr:col>11</xdr:col>
      <xdr:colOff>466725</xdr:colOff>
      <xdr:row>109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10</xdr:row>
      <xdr:rowOff>147637</xdr:rowOff>
    </xdr:from>
    <xdr:to>
      <xdr:col>10</xdr:col>
      <xdr:colOff>638175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38100</xdr:rowOff>
    </xdr:from>
    <xdr:to>
      <xdr:col>8</xdr:col>
      <xdr:colOff>209550</xdr:colOff>
      <xdr:row>39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9600"/>
          <a:ext cx="5172075" cy="403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8</xdr:col>
      <xdr:colOff>781050</xdr:colOff>
      <xdr:row>65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0"/>
          <a:ext cx="5743575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5</xdr:col>
      <xdr:colOff>485775</xdr:colOff>
      <xdr:row>69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2924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12</xdr:col>
      <xdr:colOff>361950</xdr:colOff>
      <xdr:row>151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8105775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18</xdr:row>
      <xdr:rowOff>9525</xdr:rowOff>
    </xdr:from>
    <xdr:to>
      <xdr:col>16</xdr:col>
      <xdr:colOff>571500</xdr:colOff>
      <xdr:row>36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81025"/>
          <a:ext cx="42195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colt@uaa.alaska.ed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ser.uaa.alaska.edu/Publications/2012_07-Fuel_price_projection_2012-2035.pdf" TargetMode="External"/><Relationship Id="rId1" Type="http://schemas.openxmlformats.org/officeDocument/2006/relationships/hyperlink" Target="http://www.akenergyauthority.org/RIRPFiles/Alaska_RIRP_Final_Report_120409/AlaskaRIRPFinalReport-Part2of6.pdf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analysis/projection-data.cf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chugachelectric.com/system/files/annual_reports/2012_annual_report_1.pdf" TargetMode="External"/><Relationship Id="rId1" Type="http://schemas.openxmlformats.org/officeDocument/2006/relationships/hyperlink" Target="http://www.chugachelectric.com/system/files/media-room/2011_annual_report_for_webs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9"/>
  <sheetViews>
    <sheetView tabSelected="1" workbookViewId="0"/>
  </sheetViews>
  <sheetFormatPr defaultRowHeight="15" x14ac:dyDescent="0.25"/>
  <cols>
    <col min="2" max="2" width="52.85546875" customWidth="1"/>
  </cols>
  <sheetData>
    <row r="4" spans="2:2" x14ac:dyDescent="0.25">
      <c r="B4" s="71" t="s">
        <v>620</v>
      </c>
    </row>
    <row r="6" spans="2:2" x14ac:dyDescent="0.25">
      <c r="B6" t="s">
        <v>631</v>
      </c>
    </row>
    <row r="8" spans="2:2" x14ac:dyDescent="0.25">
      <c r="B8" t="s">
        <v>621</v>
      </c>
    </row>
    <row r="9" spans="2:2" x14ac:dyDescent="0.25">
      <c r="B9" t="s">
        <v>622</v>
      </c>
    </row>
    <row r="10" spans="2:2" x14ac:dyDescent="0.25">
      <c r="B10" s="109" t="s">
        <v>623</v>
      </c>
    </row>
    <row r="11" spans="2:2" x14ac:dyDescent="0.25">
      <c r="B11" t="s">
        <v>624</v>
      </c>
    </row>
    <row r="12" spans="2:2" x14ac:dyDescent="0.25">
      <c r="B12" t="s">
        <v>625</v>
      </c>
    </row>
    <row r="14" spans="2:2" x14ac:dyDescent="0.25">
      <c r="B14" t="s">
        <v>626</v>
      </c>
    </row>
    <row r="15" spans="2:2" x14ac:dyDescent="0.25">
      <c r="B15" t="s">
        <v>627</v>
      </c>
    </row>
    <row r="16" spans="2:2" x14ac:dyDescent="0.25">
      <c r="B16" t="s">
        <v>628</v>
      </c>
    </row>
    <row r="17" spans="2:2" x14ac:dyDescent="0.25">
      <c r="B17" t="s">
        <v>629</v>
      </c>
    </row>
    <row r="19" spans="2:2" x14ac:dyDescent="0.25">
      <c r="B19" t="s">
        <v>630</v>
      </c>
    </row>
  </sheetData>
  <hyperlinks>
    <hyperlink ref="B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47"/>
  <sheetViews>
    <sheetView workbookViewId="0">
      <selection activeCell="F56" sqref="F56"/>
    </sheetView>
  </sheetViews>
  <sheetFormatPr defaultRowHeight="15" x14ac:dyDescent="0.25"/>
  <cols>
    <col min="3" max="3" width="16" customWidth="1"/>
    <col min="4" max="4" width="13.42578125" customWidth="1"/>
    <col min="5" max="5" width="32.85546875" customWidth="1"/>
    <col min="6" max="6" width="28.28515625" customWidth="1"/>
    <col min="7" max="7" width="14.7109375" customWidth="1"/>
    <col min="8" max="8" width="11.5703125" customWidth="1"/>
    <col min="9" max="10" width="11.5703125" bestFit="1" customWidth="1"/>
    <col min="11" max="11" width="9.5703125" bestFit="1" customWidth="1"/>
  </cols>
  <sheetData>
    <row r="3" spans="3:15" ht="75" x14ac:dyDescent="0.25">
      <c r="G3" s="12" t="s">
        <v>190</v>
      </c>
      <c r="H3" s="12" t="s">
        <v>191</v>
      </c>
      <c r="I3" s="12" t="s">
        <v>192</v>
      </c>
      <c r="J3" s="12" t="s">
        <v>193</v>
      </c>
      <c r="K3" s="12" t="s">
        <v>194</v>
      </c>
    </row>
    <row r="5" spans="3:15" x14ac:dyDescent="0.25">
      <c r="C5" t="s">
        <v>107</v>
      </c>
      <c r="D5" t="s">
        <v>108</v>
      </c>
      <c r="E5" s="102" t="s">
        <v>109</v>
      </c>
      <c r="F5" s="102" t="s">
        <v>110</v>
      </c>
      <c r="G5" s="102" t="s">
        <v>117</v>
      </c>
      <c r="H5" s="102" t="s">
        <v>195</v>
      </c>
      <c r="I5" s="102" t="s">
        <v>114</v>
      </c>
      <c r="J5" s="102" t="s">
        <v>115</v>
      </c>
      <c r="K5" s="102" t="s">
        <v>116</v>
      </c>
      <c r="L5" s="102" t="s">
        <v>111</v>
      </c>
      <c r="M5" s="102" t="s">
        <v>112</v>
      </c>
      <c r="N5" s="102" t="s">
        <v>113</v>
      </c>
    </row>
    <row r="6" spans="3:15" x14ac:dyDescent="0.25">
      <c r="C6">
        <v>13</v>
      </c>
      <c r="D6" s="102" t="s">
        <v>118</v>
      </c>
      <c r="E6" s="102" t="s">
        <v>119</v>
      </c>
      <c r="F6" s="102" t="s">
        <v>120</v>
      </c>
      <c r="G6" s="50">
        <v>3141</v>
      </c>
      <c r="H6" s="50">
        <v>3172</v>
      </c>
      <c r="I6" s="50">
        <v>747</v>
      </c>
      <c r="J6" s="50">
        <v>553</v>
      </c>
      <c r="K6" s="50">
        <v>194</v>
      </c>
      <c r="L6" s="1">
        <v>7</v>
      </c>
      <c r="M6" s="1" t="s">
        <v>121</v>
      </c>
      <c r="N6" s="1">
        <v>1</v>
      </c>
      <c r="O6" s="103"/>
    </row>
    <row r="7" spans="3:15" x14ac:dyDescent="0.25">
      <c r="C7">
        <v>16</v>
      </c>
      <c r="D7" s="102" t="s">
        <v>122</v>
      </c>
      <c r="E7" s="102" t="s">
        <v>123</v>
      </c>
      <c r="F7" s="102" t="s">
        <v>120</v>
      </c>
      <c r="G7" s="50">
        <v>5561</v>
      </c>
      <c r="H7" s="50">
        <v>5546</v>
      </c>
      <c r="I7" s="50">
        <v>1929</v>
      </c>
      <c r="J7" s="50">
        <v>1212</v>
      </c>
      <c r="K7" s="50">
        <v>717</v>
      </c>
      <c r="L7" s="1">
        <v>7</v>
      </c>
      <c r="M7" s="1" t="s">
        <v>121</v>
      </c>
      <c r="N7" s="1">
        <v>1</v>
      </c>
      <c r="O7" s="103"/>
    </row>
    <row r="8" spans="3:15" x14ac:dyDescent="0.25">
      <c r="C8">
        <v>180</v>
      </c>
      <c r="D8" s="102" t="s">
        <v>134</v>
      </c>
      <c r="E8" s="102" t="s">
        <v>135</v>
      </c>
      <c r="F8" s="102" t="s">
        <v>136</v>
      </c>
      <c r="G8" s="50">
        <v>9492</v>
      </c>
      <c r="H8" s="50">
        <v>9730</v>
      </c>
      <c r="I8" s="50">
        <v>4008</v>
      </c>
      <c r="J8" s="50">
        <v>2815</v>
      </c>
      <c r="K8" s="50">
        <v>1193</v>
      </c>
      <c r="L8" s="1">
        <v>8</v>
      </c>
      <c r="M8" s="1" t="s">
        <v>121</v>
      </c>
      <c r="N8" s="1">
        <v>1</v>
      </c>
      <c r="O8" s="103"/>
    </row>
    <row r="9" spans="3:15" x14ac:dyDescent="0.25">
      <c r="C9">
        <v>60</v>
      </c>
      <c r="D9" s="102" t="s">
        <v>127</v>
      </c>
      <c r="E9" s="102" t="s">
        <v>128</v>
      </c>
      <c r="F9" s="102" t="s">
        <v>129</v>
      </c>
      <c r="G9" s="50">
        <v>997</v>
      </c>
      <c r="H9" s="50">
        <v>1035</v>
      </c>
      <c r="I9" s="50">
        <v>969</v>
      </c>
      <c r="J9" s="50">
        <v>423</v>
      </c>
      <c r="K9" s="50">
        <v>546</v>
      </c>
      <c r="L9" s="1">
        <v>7</v>
      </c>
      <c r="M9" s="1" t="s">
        <v>121</v>
      </c>
      <c r="N9" s="1">
        <v>1</v>
      </c>
      <c r="O9" s="103"/>
    </row>
    <row r="10" spans="3:15" x14ac:dyDescent="0.25">
      <c r="C10">
        <v>70</v>
      </c>
      <c r="D10" s="102" t="s">
        <v>130</v>
      </c>
      <c r="E10" s="102" t="s">
        <v>131</v>
      </c>
      <c r="F10" s="102" t="s">
        <v>129</v>
      </c>
      <c r="G10" s="50">
        <v>4847</v>
      </c>
      <c r="H10" s="50">
        <v>4947</v>
      </c>
      <c r="I10" s="50">
        <v>2427</v>
      </c>
      <c r="J10" s="50">
        <v>1563</v>
      </c>
      <c r="K10" s="50">
        <v>864</v>
      </c>
      <c r="L10" s="1">
        <v>7</v>
      </c>
      <c r="M10" s="1" t="s">
        <v>121</v>
      </c>
      <c r="N10" s="1">
        <v>1</v>
      </c>
      <c r="O10" s="103"/>
    </row>
    <row r="11" spans="3:15" x14ac:dyDescent="0.25">
      <c r="C11">
        <v>164</v>
      </c>
      <c r="D11" s="102" t="s">
        <v>132</v>
      </c>
      <c r="E11" s="102" t="s">
        <v>133</v>
      </c>
      <c r="F11" s="102" t="s">
        <v>129</v>
      </c>
      <c r="G11" s="50">
        <v>1631</v>
      </c>
      <c r="H11" s="50">
        <v>1693</v>
      </c>
      <c r="I11" s="50">
        <v>1502</v>
      </c>
      <c r="J11" s="50">
        <v>553</v>
      </c>
      <c r="K11" s="50">
        <v>949</v>
      </c>
      <c r="L11" s="1">
        <v>7</v>
      </c>
      <c r="M11" s="1" t="s">
        <v>121</v>
      </c>
      <c r="N11" s="1">
        <v>1</v>
      </c>
      <c r="O11" s="103"/>
    </row>
    <row r="12" spans="3:15" x14ac:dyDescent="0.25">
      <c r="C12">
        <v>261</v>
      </c>
      <c r="D12" s="102" t="s">
        <v>183</v>
      </c>
      <c r="E12" s="102" t="s">
        <v>184</v>
      </c>
      <c r="F12" s="102" t="s">
        <v>185</v>
      </c>
      <c r="G12" s="50">
        <v>9636</v>
      </c>
      <c r="H12" s="50">
        <v>9783</v>
      </c>
      <c r="I12" s="50">
        <v>6102</v>
      </c>
      <c r="J12" s="50">
        <v>3966</v>
      </c>
      <c r="K12" s="50">
        <v>2136</v>
      </c>
      <c r="L12" s="1">
        <v>6</v>
      </c>
      <c r="M12" s="1" t="s">
        <v>159</v>
      </c>
      <c r="N12" s="1">
        <v>0</v>
      </c>
      <c r="O12" s="103"/>
    </row>
    <row r="13" spans="3:15" x14ac:dyDescent="0.25">
      <c r="C13">
        <v>150</v>
      </c>
      <c r="D13" s="102" t="s">
        <v>168</v>
      </c>
      <c r="E13" s="102" t="s">
        <v>169</v>
      </c>
      <c r="F13" s="102" t="s">
        <v>170</v>
      </c>
      <c r="G13" s="50">
        <v>13592</v>
      </c>
      <c r="H13" s="50">
        <v>13870</v>
      </c>
      <c r="I13" s="50">
        <v>5303</v>
      </c>
      <c r="J13" s="50">
        <v>4630</v>
      </c>
      <c r="K13" s="50">
        <v>673</v>
      </c>
      <c r="L13" s="1">
        <v>7</v>
      </c>
      <c r="M13" s="1" t="s">
        <v>159</v>
      </c>
      <c r="N13" s="1">
        <v>0</v>
      </c>
      <c r="O13" s="103"/>
    </row>
    <row r="14" spans="3:15" x14ac:dyDescent="0.25">
      <c r="C14">
        <v>50</v>
      </c>
      <c r="D14" s="102" t="s">
        <v>124</v>
      </c>
      <c r="E14" s="102" t="s">
        <v>125</v>
      </c>
      <c r="F14" s="102" t="s">
        <v>126</v>
      </c>
      <c r="G14" s="50">
        <v>17013</v>
      </c>
      <c r="H14" s="50">
        <v>17548</v>
      </c>
      <c r="I14" s="50">
        <v>5919</v>
      </c>
      <c r="J14" s="50">
        <v>4651</v>
      </c>
      <c r="K14" s="50">
        <v>1268</v>
      </c>
      <c r="L14" s="1">
        <v>8</v>
      </c>
      <c r="M14" s="1" t="s">
        <v>121</v>
      </c>
      <c r="N14" s="1">
        <v>1</v>
      </c>
      <c r="O14" s="103"/>
    </row>
    <row r="15" spans="3:15" x14ac:dyDescent="0.25">
      <c r="C15">
        <v>270</v>
      </c>
      <c r="D15" s="102" t="s">
        <v>143</v>
      </c>
      <c r="E15" s="102" t="s">
        <v>144</v>
      </c>
      <c r="F15" s="102" t="s">
        <v>126</v>
      </c>
      <c r="G15" s="50">
        <v>7459</v>
      </c>
      <c r="H15" s="50">
        <v>7672</v>
      </c>
      <c r="I15" s="50">
        <v>2183</v>
      </c>
      <c r="J15" s="50">
        <v>1745</v>
      </c>
      <c r="K15" s="50">
        <v>438</v>
      </c>
      <c r="L15" s="1">
        <v>8</v>
      </c>
      <c r="M15" s="1" t="s">
        <v>121</v>
      </c>
      <c r="N15" s="1">
        <v>1</v>
      </c>
      <c r="O15" s="103"/>
    </row>
    <row r="16" spans="3:15" x14ac:dyDescent="0.25">
      <c r="C16">
        <v>185</v>
      </c>
      <c r="D16" s="102" t="s">
        <v>137</v>
      </c>
      <c r="E16" s="102" t="s">
        <v>138</v>
      </c>
      <c r="F16" s="102" t="s">
        <v>139</v>
      </c>
      <c r="G16" s="50">
        <v>9430</v>
      </c>
      <c r="H16" s="50">
        <v>9584</v>
      </c>
      <c r="I16" s="50">
        <v>2500</v>
      </c>
      <c r="J16" s="50">
        <v>2029</v>
      </c>
      <c r="K16" s="50">
        <v>471</v>
      </c>
      <c r="L16" s="1">
        <v>9</v>
      </c>
      <c r="M16" s="1" t="s">
        <v>121</v>
      </c>
      <c r="N16" s="1">
        <v>1</v>
      </c>
      <c r="O16" s="103"/>
    </row>
    <row r="17" spans="3:15" x14ac:dyDescent="0.25">
      <c r="C17">
        <v>188</v>
      </c>
      <c r="D17" s="102" t="s">
        <v>140</v>
      </c>
      <c r="E17" s="102" t="s">
        <v>141</v>
      </c>
      <c r="F17" s="102" t="s">
        <v>142</v>
      </c>
      <c r="G17" s="50">
        <v>7523</v>
      </c>
      <c r="H17" s="50">
        <v>7651</v>
      </c>
      <c r="I17" s="50">
        <v>2707</v>
      </c>
      <c r="J17" s="50">
        <v>1919</v>
      </c>
      <c r="K17" s="50">
        <v>788</v>
      </c>
      <c r="L17" s="1">
        <v>8</v>
      </c>
      <c r="M17" s="1" t="s">
        <v>121</v>
      </c>
      <c r="N17" s="1">
        <v>1</v>
      </c>
      <c r="O17" s="103"/>
    </row>
    <row r="18" spans="3:15" x14ac:dyDescent="0.25">
      <c r="C18">
        <v>20</v>
      </c>
      <c r="D18" s="102" t="s">
        <v>148</v>
      </c>
      <c r="E18" s="102" t="s">
        <v>149</v>
      </c>
      <c r="F18" s="102" t="s">
        <v>150</v>
      </c>
      <c r="G18" s="50">
        <v>291826</v>
      </c>
      <c r="H18" s="50">
        <v>296197</v>
      </c>
      <c r="I18" s="50">
        <v>113032</v>
      </c>
      <c r="J18" s="50">
        <v>107332</v>
      </c>
      <c r="K18" s="50">
        <v>5700</v>
      </c>
      <c r="L18" s="1">
        <v>7</v>
      </c>
      <c r="M18" s="1" t="s">
        <v>151</v>
      </c>
      <c r="N18" s="1">
        <v>0</v>
      </c>
      <c r="O18" s="103"/>
    </row>
    <row r="19" spans="3:15" x14ac:dyDescent="0.25">
      <c r="C19">
        <v>68</v>
      </c>
      <c r="D19" s="102" t="s">
        <v>152</v>
      </c>
      <c r="E19" s="102" t="s">
        <v>153</v>
      </c>
      <c r="F19" s="102" t="s">
        <v>150</v>
      </c>
      <c r="G19" s="50">
        <v>1826</v>
      </c>
      <c r="H19" s="50">
        <v>1820</v>
      </c>
      <c r="I19" s="50">
        <v>1771</v>
      </c>
      <c r="J19" s="50">
        <v>806</v>
      </c>
      <c r="K19" s="50">
        <v>965</v>
      </c>
      <c r="L19" s="1">
        <v>8</v>
      </c>
      <c r="M19" s="1" t="s">
        <v>151</v>
      </c>
      <c r="N19" s="1">
        <v>0</v>
      </c>
      <c r="O19" s="103"/>
    </row>
    <row r="20" spans="3:15" x14ac:dyDescent="0.25">
      <c r="C20">
        <v>90</v>
      </c>
      <c r="D20" s="102" t="s">
        <v>154</v>
      </c>
      <c r="E20" s="102" t="s">
        <v>155</v>
      </c>
      <c r="F20" s="102" t="s">
        <v>150</v>
      </c>
      <c r="G20" s="50">
        <v>97581</v>
      </c>
      <c r="H20" s="50">
        <v>97615</v>
      </c>
      <c r="I20" s="50">
        <v>41783</v>
      </c>
      <c r="J20" s="50">
        <v>36441</v>
      </c>
      <c r="K20" s="50">
        <v>5342</v>
      </c>
      <c r="L20" s="1">
        <v>8</v>
      </c>
      <c r="M20" s="1" t="s">
        <v>151</v>
      </c>
      <c r="N20" s="1">
        <v>0</v>
      </c>
      <c r="O20" s="103"/>
    </row>
    <row r="21" spans="3:15" x14ac:dyDescent="0.25">
      <c r="C21">
        <v>122</v>
      </c>
      <c r="D21" s="102" t="s">
        <v>164</v>
      </c>
      <c r="E21" s="102" t="s">
        <v>165</v>
      </c>
      <c r="F21" s="102" t="s">
        <v>150</v>
      </c>
      <c r="G21" s="50">
        <v>55400</v>
      </c>
      <c r="H21" s="50">
        <v>56369</v>
      </c>
      <c r="I21" s="50">
        <v>30578</v>
      </c>
      <c r="J21" s="50">
        <v>22161</v>
      </c>
      <c r="K21" s="50">
        <v>8417</v>
      </c>
      <c r="L21" s="1">
        <v>7</v>
      </c>
      <c r="M21" s="1" t="s">
        <v>151</v>
      </c>
      <c r="N21" s="1">
        <v>0</v>
      </c>
      <c r="O21" s="103"/>
    </row>
    <row r="22" spans="3:15" x14ac:dyDescent="0.25">
      <c r="C22">
        <v>170</v>
      </c>
      <c r="D22" s="102" t="s">
        <v>171</v>
      </c>
      <c r="E22" s="102" t="s">
        <v>172</v>
      </c>
      <c r="F22" s="102" t="s">
        <v>150</v>
      </c>
      <c r="G22" s="50">
        <v>88995</v>
      </c>
      <c r="H22" s="50">
        <v>91697</v>
      </c>
      <c r="I22" s="50">
        <v>41329</v>
      </c>
      <c r="J22" s="50">
        <v>31824</v>
      </c>
      <c r="K22" s="50">
        <v>9505</v>
      </c>
      <c r="L22" s="1">
        <v>7</v>
      </c>
      <c r="M22" s="1" t="s">
        <v>151</v>
      </c>
      <c r="N22" s="1">
        <v>0</v>
      </c>
      <c r="O22" s="103"/>
    </row>
    <row r="23" spans="3:15" x14ac:dyDescent="0.25">
      <c r="C23">
        <v>100</v>
      </c>
      <c r="D23" s="102" t="s">
        <v>156</v>
      </c>
      <c r="E23" s="102" t="s">
        <v>157</v>
      </c>
      <c r="F23" s="102" t="s">
        <v>158</v>
      </c>
      <c r="G23" s="50">
        <v>2508</v>
      </c>
      <c r="H23" s="50">
        <v>2620</v>
      </c>
      <c r="I23" s="50">
        <v>1631</v>
      </c>
      <c r="J23" s="50">
        <v>1149</v>
      </c>
      <c r="K23" s="50">
        <v>482</v>
      </c>
      <c r="L23" s="1">
        <v>7</v>
      </c>
      <c r="M23" s="1" t="s">
        <v>159</v>
      </c>
      <c r="N23" s="1">
        <v>0</v>
      </c>
      <c r="O23" s="103"/>
    </row>
    <row r="24" spans="3:15" x14ac:dyDescent="0.25">
      <c r="C24">
        <v>105</v>
      </c>
      <c r="D24" s="102" t="s">
        <v>160</v>
      </c>
      <c r="E24" s="102" t="s">
        <v>161</v>
      </c>
      <c r="F24" s="102" t="s">
        <v>158</v>
      </c>
      <c r="G24" s="50">
        <v>2150</v>
      </c>
      <c r="H24" s="50">
        <v>2148</v>
      </c>
      <c r="I24" s="50">
        <v>1771</v>
      </c>
      <c r="J24" s="50">
        <v>913</v>
      </c>
      <c r="K24" s="50">
        <v>858</v>
      </c>
      <c r="L24" s="1">
        <v>6</v>
      </c>
      <c r="M24" s="1" t="s">
        <v>159</v>
      </c>
      <c r="N24" s="1">
        <v>0</v>
      </c>
      <c r="O24" s="103"/>
    </row>
    <row r="25" spans="3:15" x14ac:dyDescent="0.25">
      <c r="C25">
        <v>110</v>
      </c>
      <c r="D25" s="102" t="s">
        <v>162</v>
      </c>
      <c r="E25" s="102" t="s">
        <v>163</v>
      </c>
      <c r="F25" s="102" t="s">
        <v>158</v>
      </c>
      <c r="G25" s="50">
        <v>31275</v>
      </c>
      <c r="H25" s="50">
        <v>32290</v>
      </c>
      <c r="I25" s="50">
        <v>13055</v>
      </c>
      <c r="J25" s="50">
        <v>12187</v>
      </c>
      <c r="K25" s="50">
        <v>868</v>
      </c>
      <c r="L25" s="1">
        <v>6</v>
      </c>
      <c r="M25" s="1" t="s">
        <v>159</v>
      </c>
      <c r="N25" s="1">
        <v>0</v>
      </c>
      <c r="O25" s="103"/>
    </row>
    <row r="26" spans="3:15" x14ac:dyDescent="0.25">
      <c r="C26">
        <v>130</v>
      </c>
      <c r="D26" s="102" t="s">
        <v>166</v>
      </c>
      <c r="E26" s="102" t="s">
        <v>167</v>
      </c>
      <c r="F26" s="102" t="s">
        <v>158</v>
      </c>
      <c r="G26" s="50">
        <v>13477</v>
      </c>
      <c r="H26" s="50">
        <v>13686</v>
      </c>
      <c r="I26" s="50">
        <v>6166</v>
      </c>
      <c r="J26" s="50">
        <v>5305</v>
      </c>
      <c r="K26" s="50">
        <v>861</v>
      </c>
      <c r="L26" s="1">
        <v>6</v>
      </c>
      <c r="M26" s="1" t="s">
        <v>159</v>
      </c>
      <c r="N26" s="1">
        <v>0</v>
      </c>
      <c r="O26" s="103"/>
    </row>
    <row r="27" spans="3:15" x14ac:dyDescent="0.25">
      <c r="C27">
        <v>195</v>
      </c>
      <c r="D27" s="102" t="s">
        <v>173</v>
      </c>
      <c r="E27" s="102" t="s">
        <v>174</v>
      </c>
      <c r="F27" s="102" t="s">
        <v>158</v>
      </c>
      <c r="G27" s="50">
        <v>3815</v>
      </c>
      <c r="H27" s="50">
        <v>3951</v>
      </c>
      <c r="I27" s="50">
        <v>1994</v>
      </c>
      <c r="J27" s="50">
        <v>1599</v>
      </c>
      <c r="K27" s="50">
        <v>395</v>
      </c>
      <c r="L27" s="1">
        <v>6</v>
      </c>
      <c r="M27" s="1" t="s">
        <v>159</v>
      </c>
      <c r="N27" s="1">
        <v>0</v>
      </c>
      <c r="O27" s="103"/>
    </row>
    <row r="28" spans="3:15" x14ac:dyDescent="0.25">
      <c r="C28">
        <v>198</v>
      </c>
      <c r="D28" s="102" t="s">
        <v>175</v>
      </c>
      <c r="E28" s="102" t="s">
        <v>176</v>
      </c>
      <c r="F28" s="102" t="s">
        <v>158</v>
      </c>
      <c r="G28" s="50">
        <v>5559</v>
      </c>
      <c r="H28" s="50">
        <v>5814</v>
      </c>
      <c r="I28" s="50">
        <v>2992</v>
      </c>
      <c r="J28" s="50">
        <v>2194</v>
      </c>
      <c r="K28" s="50">
        <v>798</v>
      </c>
      <c r="L28" s="1">
        <v>6</v>
      </c>
      <c r="M28" s="1" t="s">
        <v>159</v>
      </c>
      <c r="N28" s="1">
        <v>0</v>
      </c>
      <c r="O28" s="103"/>
    </row>
    <row r="29" spans="3:15" x14ac:dyDescent="0.25">
      <c r="C29">
        <v>220</v>
      </c>
      <c r="D29" s="102" t="s">
        <v>177</v>
      </c>
      <c r="E29" s="102" t="s">
        <v>178</v>
      </c>
      <c r="F29" s="102" t="s">
        <v>158</v>
      </c>
      <c r="G29" s="50">
        <v>8881</v>
      </c>
      <c r="H29" s="50">
        <v>8985</v>
      </c>
      <c r="I29" s="50">
        <v>4102</v>
      </c>
      <c r="J29" s="50">
        <v>3545</v>
      </c>
      <c r="K29" s="50">
        <v>557</v>
      </c>
      <c r="L29" s="1">
        <v>6</v>
      </c>
      <c r="M29" s="1" t="s">
        <v>159</v>
      </c>
      <c r="N29" s="1">
        <v>0</v>
      </c>
      <c r="O29" s="103"/>
    </row>
    <row r="30" spans="3:15" x14ac:dyDescent="0.25">
      <c r="C30">
        <v>230</v>
      </c>
      <c r="D30" s="102" t="s">
        <v>179</v>
      </c>
      <c r="E30" s="102" t="s">
        <v>180</v>
      </c>
      <c r="F30" s="102" t="s">
        <v>158</v>
      </c>
      <c r="G30" s="50">
        <v>968</v>
      </c>
      <c r="H30" s="50">
        <v>965</v>
      </c>
      <c r="I30" s="50">
        <v>636</v>
      </c>
      <c r="J30" s="50">
        <v>436</v>
      </c>
      <c r="K30" s="50">
        <v>200</v>
      </c>
      <c r="L30" s="1">
        <v>6</v>
      </c>
      <c r="M30" s="1" t="s">
        <v>159</v>
      </c>
      <c r="N30" s="1">
        <v>0</v>
      </c>
      <c r="O30" s="103"/>
    </row>
    <row r="31" spans="3:15" x14ac:dyDescent="0.25">
      <c r="C31">
        <v>275</v>
      </c>
      <c r="D31" s="102" t="s">
        <v>186</v>
      </c>
      <c r="E31" s="102" t="s">
        <v>187</v>
      </c>
      <c r="F31" s="102" t="s">
        <v>158</v>
      </c>
      <c r="G31" s="50">
        <v>2369</v>
      </c>
      <c r="H31" s="50">
        <v>2411</v>
      </c>
      <c r="I31" s="50">
        <v>1428</v>
      </c>
      <c r="J31" s="50">
        <v>1053</v>
      </c>
      <c r="K31" s="50">
        <v>375</v>
      </c>
      <c r="L31" s="1">
        <v>6</v>
      </c>
      <c r="M31" s="1" t="s">
        <v>159</v>
      </c>
      <c r="N31" s="1">
        <v>0</v>
      </c>
      <c r="O31" s="103"/>
    </row>
    <row r="32" spans="3:15" x14ac:dyDescent="0.25">
      <c r="C32">
        <v>282</v>
      </c>
      <c r="D32" s="102" t="s">
        <v>188</v>
      </c>
      <c r="E32" s="102" t="s">
        <v>189</v>
      </c>
      <c r="F32" s="102" t="s">
        <v>158</v>
      </c>
      <c r="G32" s="50">
        <v>662</v>
      </c>
      <c r="H32" s="50">
        <v>656</v>
      </c>
      <c r="I32" s="50">
        <v>450</v>
      </c>
      <c r="J32" s="50">
        <v>270</v>
      </c>
      <c r="K32" s="50">
        <v>180</v>
      </c>
      <c r="L32" s="1">
        <v>6</v>
      </c>
      <c r="M32" s="1" t="s">
        <v>159</v>
      </c>
      <c r="N32" s="1">
        <v>0</v>
      </c>
      <c r="O32" s="103"/>
    </row>
    <row r="33" spans="3:15" x14ac:dyDescent="0.25">
      <c r="C33">
        <v>240</v>
      </c>
      <c r="D33" s="102" t="s">
        <v>181</v>
      </c>
      <c r="E33" s="102" t="s">
        <v>182</v>
      </c>
      <c r="F33" s="102" t="s">
        <v>147</v>
      </c>
      <c r="G33" s="50">
        <v>7029</v>
      </c>
      <c r="H33" s="50">
        <v>7080</v>
      </c>
      <c r="I33" s="50">
        <v>3915</v>
      </c>
      <c r="J33" s="50">
        <v>2567</v>
      </c>
      <c r="K33" s="50">
        <v>1348</v>
      </c>
      <c r="L33" s="1">
        <v>8</v>
      </c>
      <c r="M33" s="1" t="s">
        <v>151</v>
      </c>
      <c r="N33" s="1">
        <v>0</v>
      </c>
      <c r="O33" s="103"/>
    </row>
    <row r="34" spans="3:15" x14ac:dyDescent="0.25">
      <c r="C34">
        <v>290</v>
      </c>
      <c r="D34" s="102" t="s">
        <v>145</v>
      </c>
      <c r="E34" s="102" t="s">
        <v>146</v>
      </c>
      <c r="F34" s="102" t="s">
        <v>147</v>
      </c>
      <c r="G34" s="50">
        <v>5588</v>
      </c>
      <c r="H34" s="50">
        <v>5655</v>
      </c>
      <c r="I34" s="50">
        <v>4038</v>
      </c>
      <c r="J34" s="50">
        <v>2217</v>
      </c>
      <c r="K34" s="50">
        <v>1821</v>
      </c>
      <c r="L34" s="1">
        <v>8</v>
      </c>
      <c r="M34" s="1" t="s">
        <v>121</v>
      </c>
      <c r="N34" s="1">
        <v>1</v>
      </c>
      <c r="O34" s="103"/>
    </row>
    <row r="36" spans="3:15" x14ac:dyDescent="0.25">
      <c r="F36" t="s">
        <v>120</v>
      </c>
      <c r="G36" s="13">
        <v>8702</v>
      </c>
      <c r="H36" s="13">
        <v>8718</v>
      </c>
    </row>
    <row r="37" spans="3:15" x14ac:dyDescent="0.25">
      <c r="F37" s="102" t="s">
        <v>136</v>
      </c>
      <c r="G37" s="13">
        <v>9492</v>
      </c>
      <c r="H37" s="13">
        <v>9730</v>
      </c>
    </row>
    <row r="38" spans="3:15" x14ac:dyDescent="0.25">
      <c r="F38" s="102" t="s">
        <v>129</v>
      </c>
      <c r="G38" s="13">
        <v>7475</v>
      </c>
      <c r="H38" s="13">
        <v>7675</v>
      </c>
    </row>
    <row r="39" spans="3:15" x14ac:dyDescent="0.25">
      <c r="F39" s="102" t="s">
        <v>185</v>
      </c>
      <c r="G39" s="13">
        <v>9636</v>
      </c>
      <c r="H39" s="13">
        <v>9783</v>
      </c>
    </row>
    <row r="40" spans="3:15" x14ac:dyDescent="0.25">
      <c r="F40" s="102" t="s">
        <v>170</v>
      </c>
      <c r="G40" s="13">
        <v>13592</v>
      </c>
      <c r="H40" s="13">
        <v>13870</v>
      </c>
    </row>
    <row r="41" spans="3:15" x14ac:dyDescent="0.25">
      <c r="F41" s="102" t="s">
        <v>126</v>
      </c>
      <c r="G41" s="13">
        <v>24472</v>
      </c>
      <c r="H41" s="13">
        <v>25220</v>
      </c>
    </row>
    <row r="42" spans="3:15" x14ac:dyDescent="0.25">
      <c r="F42" s="102" t="s">
        <v>139</v>
      </c>
      <c r="G42" s="13">
        <v>9430</v>
      </c>
      <c r="H42" s="13">
        <v>9584</v>
      </c>
    </row>
    <row r="43" spans="3:15" x14ac:dyDescent="0.25">
      <c r="F43" s="102" t="s">
        <v>142</v>
      </c>
      <c r="G43" s="13">
        <v>7523</v>
      </c>
      <c r="H43" s="13">
        <v>7651</v>
      </c>
    </row>
    <row r="44" spans="3:15" x14ac:dyDescent="0.25">
      <c r="F44" s="102" t="s">
        <v>150</v>
      </c>
      <c r="G44" s="13">
        <v>535628</v>
      </c>
      <c r="H44" s="104">
        <v>543698</v>
      </c>
    </row>
    <row r="45" spans="3:15" x14ac:dyDescent="0.25">
      <c r="F45" s="102" t="s">
        <v>158</v>
      </c>
      <c r="G45" s="13">
        <v>71664</v>
      </c>
      <c r="H45" s="13">
        <v>73526</v>
      </c>
    </row>
    <row r="46" spans="3:15" x14ac:dyDescent="0.25">
      <c r="F46" s="102" t="s">
        <v>147</v>
      </c>
      <c r="G46" s="13">
        <v>12617</v>
      </c>
      <c r="H46" s="13">
        <v>12735</v>
      </c>
    </row>
    <row r="47" spans="3:15" x14ac:dyDescent="0.25">
      <c r="G47" s="13">
        <f>SUM(G36:G46)</f>
        <v>710231</v>
      </c>
      <c r="H47" s="13">
        <f>SUM(H36:H46)</f>
        <v>722190</v>
      </c>
    </row>
  </sheetData>
  <sortState ref="C6:N34">
    <sortCondition ref="F6:F3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B15" sqref="B15"/>
    </sheetView>
  </sheetViews>
  <sheetFormatPr defaultRowHeight="15" x14ac:dyDescent="0.25"/>
  <cols>
    <col min="2" max="2" width="15.28515625" bestFit="1" customWidth="1"/>
  </cols>
  <sheetData>
    <row r="2" spans="2:9" x14ac:dyDescent="0.25">
      <c r="G2" t="s">
        <v>76</v>
      </c>
    </row>
    <row r="3" spans="2:9" x14ac:dyDescent="0.25">
      <c r="B3" t="s">
        <v>2</v>
      </c>
      <c r="F3" s="4">
        <v>1980</v>
      </c>
      <c r="G3" s="5">
        <v>85.5</v>
      </c>
    </row>
    <row r="4" spans="2:9" x14ac:dyDescent="0.25">
      <c r="B4" s="2">
        <v>9.0999999999999998E-2</v>
      </c>
      <c r="C4" t="s">
        <v>3</v>
      </c>
      <c r="F4" s="4">
        <v>1981</v>
      </c>
      <c r="G4" s="5">
        <v>92.4</v>
      </c>
    </row>
    <row r="5" spans="2:9" x14ac:dyDescent="0.25">
      <c r="B5" s="3">
        <v>0.06</v>
      </c>
      <c r="C5" t="s">
        <v>4</v>
      </c>
      <c r="F5" s="4">
        <v>1982</v>
      </c>
      <c r="G5" s="5">
        <v>97.4</v>
      </c>
    </row>
    <row r="6" spans="2:9" x14ac:dyDescent="0.25">
      <c r="B6" s="107" t="s">
        <v>199</v>
      </c>
      <c r="F6" s="4">
        <v>1983</v>
      </c>
      <c r="G6" s="5">
        <v>99.2</v>
      </c>
    </row>
    <row r="7" spans="2:9" x14ac:dyDescent="0.25">
      <c r="F7" s="4">
        <v>1984</v>
      </c>
      <c r="G7" s="5">
        <v>103.3</v>
      </c>
      <c r="H7" t="s">
        <v>5</v>
      </c>
    </row>
    <row r="8" spans="2:9" x14ac:dyDescent="0.25">
      <c r="F8" s="4">
        <v>1985</v>
      </c>
      <c r="G8" s="5">
        <v>105.8</v>
      </c>
      <c r="H8" s="11">
        <f>AVERAGE(G6:G7)</f>
        <v>101.25</v>
      </c>
    </row>
    <row r="9" spans="2:9" x14ac:dyDescent="0.25">
      <c r="F9" s="4">
        <v>1986</v>
      </c>
      <c r="G9" s="5">
        <v>107.8</v>
      </c>
    </row>
    <row r="10" spans="2:9" x14ac:dyDescent="0.25">
      <c r="F10" s="4">
        <v>1987</v>
      </c>
      <c r="G10" s="5">
        <v>108.2</v>
      </c>
      <c r="H10" t="s">
        <v>6</v>
      </c>
    </row>
    <row r="11" spans="2:9" x14ac:dyDescent="0.25">
      <c r="F11" s="4">
        <v>1988</v>
      </c>
      <c r="G11" s="5">
        <v>108.6</v>
      </c>
      <c r="H11" s="11">
        <f>G34</f>
        <v>201.4</v>
      </c>
    </row>
    <row r="12" spans="2:9" x14ac:dyDescent="0.25">
      <c r="F12" s="4">
        <v>1989</v>
      </c>
      <c r="G12" s="5">
        <v>111.7</v>
      </c>
    </row>
    <row r="13" spans="2:9" x14ac:dyDescent="0.25">
      <c r="B13" s="50">
        <f>0.091*2500000000</f>
        <v>227500000</v>
      </c>
      <c r="F13" s="4">
        <v>1990</v>
      </c>
      <c r="G13" s="5">
        <v>118.6</v>
      </c>
      <c r="H13">
        <f>(H11/H8)^(1/27.5)-1</f>
        <v>2.5322587615830061E-2</v>
      </c>
      <c r="I13" t="s">
        <v>7</v>
      </c>
    </row>
    <row r="14" spans="2:9" x14ac:dyDescent="0.25">
      <c r="B14">
        <f>B13/'county population'!H44</f>
        <v>418.43082005083704</v>
      </c>
      <c r="F14" s="4">
        <v>1991</v>
      </c>
      <c r="G14" s="5">
        <v>124</v>
      </c>
    </row>
    <row r="15" spans="2:9" x14ac:dyDescent="0.25">
      <c r="F15" s="4">
        <v>1992</v>
      </c>
      <c r="G15" s="5">
        <v>128.19999999999999</v>
      </c>
    </row>
    <row r="16" spans="2:9" x14ac:dyDescent="0.25">
      <c r="F16" s="4">
        <v>1993</v>
      </c>
      <c r="G16" s="5">
        <v>132.19999999999999</v>
      </c>
    </row>
    <row r="17" spans="6:8" x14ac:dyDescent="0.25">
      <c r="F17" s="4">
        <v>1994</v>
      </c>
      <c r="G17" s="5">
        <v>135</v>
      </c>
    </row>
    <row r="18" spans="6:8" x14ac:dyDescent="0.25">
      <c r="F18" s="4">
        <v>1995</v>
      </c>
      <c r="G18" s="5">
        <v>138.9</v>
      </c>
    </row>
    <row r="19" spans="6:8" x14ac:dyDescent="0.25">
      <c r="F19" s="6">
        <v>1996</v>
      </c>
      <c r="G19" s="7">
        <v>142.69999999999999</v>
      </c>
    </row>
    <row r="20" spans="6:8" x14ac:dyDescent="0.25">
      <c r="F20" s="6">
        <v>1997</v>
      </c>
      <c r="G20" s="7">
        <v>144.80000000000001</v>
      </c>
    </row>
    <row r="21" spans="6:8" x14ac:dyDescent="0.25">
      <c r="F21" s="6">
        <v>1998</v>
      </c>
      <c r="G21" s="7">
        <v>146.9</v>
      </c>
    </row>
    <row r="22" spans="6:8" x14ac:dyDescent="0.25">
      <c r="F22" s="6">
        <v>1999</v>
      </c>
      <c r="G22" s="8">
        <v>148.4</v>
      </c>
    </row>
    <row r="23" spans="6:8" x14ac:dyDescent="0.25">
      <c r="F23" s="6">
        <v>2000</v>
      </c>
      <c r="G23" s="8">
        <v>150.9</v>
      </c>
    </row>
    <row r="24" spans="6:8" x14ac:dyDescent="0.25">
      <c r="F24" s="9">
        <v>2001</v>
      </c>
      <c r="G24" s="7">
        <v>155.19999999999999</v>
      </c>
    </row>
    <row r="25" spans="6:8" x14ac:dyDescent="0.25">
      <c r="F25" s="9">
        <v>2002</v>
      </c>
      <c r="G25" s="7">
        <v>158.19999999999999</v>
      </c>
    </row>
    <row r="26" spans="6:8" x14ac:dyDescent="0.25">
      <c r="F26" s="9">
        <v>2003</v>
      </c>
      <c r="G26" s="7">
        <v>162.5</v>
      </c>
    </row>
    <row r="27" spans="6:8" x14ac:dyDescent="0.25">
      <c r="F27" s="9">
        <v>2004</v>
      </c>
      <c r="G27" s="7">
        <v>166.7</v>
      </c>
    </row>
    <row r="28" spans="6:8" x14ac:dyDescent="0.25">
      <c r="F28" s="9">
        <v>2005</v>
      </c>
      <c r="G28" s="7">
        <v>171.8</v>
      </c>
    </row>
    <row r="29" spans="6:8" x14ac:dyDescent="0.25">
      <c r="F29" s="9">
        <v>2006</v>
      </c>
      <c r="G29" s="10">
        <v>177.3</v>
      </c>
    </row>
    <row r="30" spans="6:8" x14ac:dyDescent="0.25">
      <c r="F30" s="9">
        <v>2007</v>
      </c>
      <c r="G30" s="10">
        <v>181.2</v>
      </c>
    </row>
    <row r="31" spans="6:8" x14ac:dyDescent="0.25">
      <c r="F31" s="9">
        <v>2008</v>
      </c>
      <c r="G31" s="10">
        <v>189.5</v>
      </c>
    </row>
    <row r="32" spans="6:8" x14ac:dyDescent="0.25">
      <c r="F32" s="9">
        <v>2009</v>
      </c>
      <c r="G32" s="10">
        <v>191.7</v>
      </c>
      <c r="H32" s="3"/>
    </row>
    <row r="33" spans="6:8" x14ac:dyDescent="0.25">
      <c r="F33" s="9">
        <v>2010</v>
      </c>
      <c r="G33" s="10">
        <v>195.1</v>
      </c>
      <c r="H33" s="3"/>
    </row>
    <row r="34" spans="6:8" x14ac:dyDescent="0.25">
      <c r="F34" s="9">
        <v>2011</v>
      </c>
      <c r="G34" s="57">
        <v>201.4</v>
      </c>
      <c r="H34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2"/>
  <sheetViews>
    <sheetView showGridLines="0" topLeftCell="A6" workbookViewId="0">
      <selection activeCell="I21" sqref="I21"/>
    </sheetView>
  </sheetViews>
  <sheetFormatPr defaultRowHeight="15" x14ac:dyDescent="0.25"/>
  <cols>
    <col min="2" max="2" width="4.140625" customWidth="1"/>
    <col min="3" max="3" width="4.5703125" customWidth="1"/>
    <col min="4" max="4" width="3.5703125" customWidth="1"/>
    <col min="5" max="5" width="55.5703125" customWidth="1"/>
  </cols>
  <sheetData>
    <row r="4" spans="1:6" x14ac:dyDescent="0.25">
      <c r="A4" s="111"/>
      <c r="B4" s="111"/>
      <c r="C4" s="239"/>
      <c r="D4" s="239" t="s">
        <v>212</v>
      </c>
      <c r="E4" s="239"/>
      <c r="F4" s="111"/>
    </row>
    <row r="5" spans="1:6" x14ac:dyDescent="0.25">
      <c r="A5" s="111"/>
      <c r="B5" s="111"/>
      <c r="C5" s="239"/>
      <c r="D5" s="239" t="s">
        <v>210</v>
      </c>
      <c r="E5" s="239"/>
      <c r="F5" s="111"/>
    </row>
    <row r="6" spans="1:6" x14ac:dyDescent="0.25">
      <c r="A6" s="111"/>
      <c r="B6" s="111"/>
      <c r="C6" s="239"/>
      <c r="D6" s="239"/>
      <c r="E6" s="239"/>
      <c r="F6" s="111"/>
    </row>
    <row r="7" spans="1:6" x14ac:dyDescent="0.25">
      <c r="A7" s="240"/>
      <c r="B7" s="240" t="s">
        <v>606</v>
      </c>
      <c r="C7" s="240"/>
      <c r="D7" s="240"/>
      <c r="E7" s="240"/>
      <c r="F7" s="240"/>
    </row>
    <row r="8" spans="1:6" x14ac:dyDescent="0.25">
      <c r="B8" s="153"/>
      <c r="C8" s="153"/>
      <c r="D8" s="153" t="s">
        <v>552</v>
      </c>
      <c r="E8" s="153"/>
    </row>
    <row r="9" spans="1:6" x14ac:dyDescent="0.25">
      <c r="B9" s="284">
        <v>1</v>
      </c>
      <c r="C9" s="111"/>
      <c r="D9" s="111"/>
      <c r="E9" s="111" t="s">
        <v>553</v>
      </c>
    </row>
    <row r="10" spans="1:6" x14ac:dyDescent="0.25">
      <c r="B10" s="284">
        <v>2</v>
      </c>
      <c r="C10" s="285" t="s">
        <v>206</v>
      </c>
      <c r="D10" s="111"/>
      <c r="E10" s="111" t="s">
        <v>554</v>
      </c>
    </row>
    <row r="11" spans="1:6" x14ac:dyDescent="0.25">
      <c r="B11" s="284">
        <v>3</v>
      </c>
      <c r="C11" s="285" t="s">
        <v>206</v>
      </c>
      <c r="D11" s="111"/>
      <c r="E11" s="111" t="s">
        <v>555</v>
      </c>
    </row>
    <row r="12" spans="1:6" x14ac:dyDescent="0.25">
      <c r="B12" s="284">
        <v>4</v>
      </c>
      <c r="C12" s="285" t="s">
        <v>206</v>
      </c>
      <c r="D12" s="111"/>
      <c r="E12" s="286" t="s">
        <v>556</v>
      </c>
    </row>
    <row r="13" spans="1:6" x14ac:dyDescent="0.25">
      <c r="B13" s="284">
        <v>5</v>
      </c>
      <c r="C13" s="285" t="s">
        <v>207</v>
      </c>
      <c r="D13" s="112" t="s">
        <v>211</v>
      </c>
      <c r="E13" s="111"/>
    </row>
    <row r="14" spans="1:6" x14ac:dyDescent="0.25">
      <c r="B14" s="284">
        <v>6</v>
      </c>
      <c r="C14" s="285" t="s">
        <v>206</v>
      </c>
      <c r="D14" s="111" t="s">
        <v>288</v>
      </c>
      <c r="E14" s="111"/>
    </row>
    <row r="15" spans="1:6" x14ac:dyDescent="0.25">
      <c r="B15" s="284">
        <v>7</v>
      </c>
      <c r="C15" s="285" t="s">
        <v>206</v>
      </c>
      <c r="D15" s="111" t="s">
        <v>289</v>
      </c>
      <c r="E15" s="111"/>
    </row>
    <row r="16" spans="1:6" x14ac:dyDescent="0.25">
      <c r="B16" s="284">
        <v>8</v>
      </c>
      <c r="C16" s="285" t="s">
        <v>206</v>
      </c>
      <c r="D16" s="111" t="s">
        <v>290</v>
      </c>
      <c r="E16" s="111"/>
    </row>
    <row r="17" spans="2:5" x14ac:dyDescent="0.25">
      <c r="B17" s="284">
        <v>9</v>
      </c>
      <c r="C17" s="285" t="s">
        <v>207</v>
      </c>
      <c r="D17" s="112" t="s">
        <v>205</v>
      </c>
      <c r="E17" s="111"/>
    </row>
    <row r="18" spans="2:5" x14ac:dyDescent="0.25">
      <c r="B18" s="284">
        <v>10</v>
      </c>
      <c r="C18" s="285" t="s">
        <v>206</v>
      </c>
      <c r="D18" s="111" t="s">
        <v>208</v>
      </c>
      <c r="E18" s="111"/>
    </row>
    <row r="19" spans="2:5" x14ac:dyDescent="0.25">
      <c r="B19" s="284">
        <v>11</v>
      </c>
      <c r="C19" s="285" t="s">
        <v>207</v>
      </c>
      <c r="D19" s="112" t="s">
        <v>209</v>
      </c>
      <c r="E19" s="111"/>
    </row>
    <row r="22" spans="2:5" x14ac:dyDescent="0.25">
      <c r="B22" s="241" t="s">
        <v>558</v>
      </c>
    </row>
    <row r="24" spans="2:5" x14ac:dyDescent="0.25">
      <c r="B24" s="153"/>
      <c r="C24" s="153"/>
      <c r="D24" s="153" t="s">
        <v>552</v>
      </c>
      <c r="E24" s="153"/>
    </row>
    <row r="25" spans="2:5" x14ac:dyDescent="0.25">
      <c r="B25" s="284">
        <v>1</v>
      </c>
      <c r="C25" s="111"/>
      <c r="D25" s="111"/>
      <c r="E25" s="111" t="s">
        <v>553</v>
      </c>
    </row>
    <row r="26" spans="2:5" x14ac:dyDescent="0.25">
      <c r="B26" s="284">
        <v>2</v>
      </c>
      <c r="C26" s="285" t="s">
        <v>206</v>
      </c>
      <c r="D26" s="111"/>
      <c r="E26" s="111" t="s">
        <v>554</v>
      </c>
    </row>
    <row r="27" spans="2:5" x14ac:dyDescent="0.25">
      <c r="B27" s="284">
        <v>3</v>
      </c>
      <c r="C27" s="285" t="s">
        <v>206</v>
      </c>
      <c r="D27" s="111"/>
      <c r="E27" s="111" t="s">
        <v>557</v>
      </c>
    </row>
    <row r="28" spans="2:5" x14ac:dyDescent="0.25">
      <c r="B28" s="284">
        <v>4</v>
      </c>
      <c r="C28" s="285" t="s">
        <v>206</v>
      </c>
      <c r="D28" s="111"/>
      <c r="E28" s="286" t="s">
        <v>556</v>
      </c>
    </row>
    <row r="29" spans="2:5" x14ac:dyDescent="0.25">
      <c r="B29" s="284">
        <v>5</v>
      </c>
      <c r="C29" s="285" t="s">
        <v>207</v>
      </c>
      <c r="D29" s="112" t="s">
        <v>211</v>
      </c>
      <c r="E29" s="111"/>
    </row>
    <row r="30" spans="2:5" x14ac:dyDescent="0.25">
      <c r="B30" s="284">
        <v>6</v>
      </c>
      <c r="C30" s="285" t="s">
        <v>206</v>
      </c>
      <c r="D30" s="111" t="s">
        <v>288</v>
      </c>
      <c r="E30" s="111"/>
    </row>
    <row r="31" spans="2:5" x14ac:dyDescent="0.25">
      <c r="B31" s="284">
        <v>7</v>
      </c>
      <c r="C31" s="285" t="s">
        <v>206</v>
      </c>
      <c r="D31" s="111" t="s">
        <v>289</v>
      </c>
      <c r="E31" s="111"/>
    </row>
    <row r="32" spans="2:5" x14ac:dyDescent="0.25">
      <c r="B32" s="284">
        <v>8</v>
      </c>
      <c r="C32" s="285" t="s">
        <v>206</v>
      </c>
      <c r="D32" s="111" t="s">
        <v>290</v>
      </c>
      <c r="E32" s="111"/>
    </row>
    <row r="33" spans="2:7" x14ac:dyDescent="0.25">
      <c r="B33" s="284">
        <v>9</v>
      </c>
      <c r="C33" s="285" t="s">
        <v>207</v>
      </c>
      <c r="D33" s="112" t="s">
        <v>205</v>
      </c>
      <c r="E33" s="111"/>
    </row>
    <row r="34" spans="2:7" x14ac:dyDescent="0.25">
      <c r="B34" s="284">
        <v>10</v>
      </c>
      <c r="C34" s="285" t="s">
        <v>206</v>
      </c>
      <c r="D34" s="111" t="s">
        <v>607</v>
      </c>
      <c r="E34" s="111"/>
    </row>
    <row r="35" spans="2:7" x14ac:dyDescent="0.25">
      <c r="B35" s="284">
        <v>11</v>
      </c>
      <c r="C35" s="285" t="s">
        <v>207</v>
      </c>
      <c r="D35" s="112" t="s">
        <v>209</v>
      </c>
      <c r="E35" s="111"/>
    </row>
    <row r="37" spans="2:7" x14ac:dyDescent="0.25">
      <c r="E37" t="s">
        <v>615</v>
      </c>
      <c r="F37">
        <v>5.2999999999999999E-2</v>
      </c>
      <c r="G37" t="s">
        <v>616</v>
      </c>
    </row>
    <row r="38" spans="2:7" x14ac:dyDescent="0.25">
      <c r="F38">
        <v>100</v>
      </c>
      <c r="G38" t="s">
        <v>617</v>
      </c>
    </row>
    <row r="39" spans="2:7" x14ac:dyDescent="0.25">
      <c r="F39">
        <f>F38*F37</f>
        <v>5.3</v>
      </c>
      <c r="G39" t="s">
        <v>618</v>
      </c>
    </row>
    <row r="40" spans="2:7" x14ac:dyDescent="0.25">
      <c r="F40">
        <v>7300</v>
      </c>
      <c r="G40" t="s">
        <v>84</v>
      </c>
    </row>
    <row r="41" spans="2:7" x14ac:dyDescent="0.25">
      <c r="F41">
        <f>F40/1000000</f>
        <v>7.3000000000000001E-3</v>
      </c>
      <c r="G41" t="s">
        <v>619</v>
      </c>
    </row>
    <row r="42" spans="2:7" x14ac:dyDescent="0.25">
      <c r="F42">
        <f>F39*F41</f>
        <v>3.8690000000000002E-2</v>
      </c>
      <c r="G42" t="s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64"/>
  <sheetViews>
    <sheetView showGridLines="0" zoomScaleNormal="100" workbookViewId="0">
      <selection activeCell="J29" sqref="J29"/>
    </sheetView>
  </sheetViews>
  <sheetFormatPr defaultRowHeight="12.75" customHeight="1" x14ac:dyDescent="0.2"/>
  <cols>
    <col min="1" max="1" width="9.140625" style="23"/>
    <col min="2" max="2" width="2.85546875" style="23" customWidth="1"/>
    <col min="3" max="3" width="42.7109375" style="23" customWidth="1"/>
    <col min="4" max="4" width="12" style="23" customWidth="1"/>
    <col min="5" max="5" width="10.7109375" style="23" customWidth="1"/>
    <col min="6" max="8" width="7.85546875" style="23" customWidth="1"/>
    <col min="9" max="9" width="10.140625" style="23" customWidth="1"/>
    <col min="10" max="12" width="8.85546875" style="23" customWidth="1"/>
    <col min="13" max="13" width="7.5703125" style="23" customWidth="1"/>
    <col min="14" max="17" width="8" style="23" customWidth="1"/>
    <col min="18" max="18" width="11.85546875" style="23" customWidth="1"/>
    <col min="19" max="19" width="10.42578125" style="23" customWidth="1"/>
    <col min="20" max="67" width="10" style="23" customWidth="1"/>
    <col min="68" max="16384" width="9.140625" style="23"/>
  </cols>
  <sheetData>
    <row r="1" spans="1:15" ht="18.75" customHeight="1" x14ac:dyDescent="0.25">
      <c r="A1" s="110" t="s">
        <v>227</v>
      </c>
    </row>
    <row r="2" spans="1:15" x14ac:dyDescent="0.2">
      <c r="A2" s="16"/>
      <c r="E2" s="160"/>
      <c r="I2" s="45"/>
    </row>
    <row r="3" spans="1:15" ht="12.75" customHeight="1" x14ac:dyDescent="0.2">
      <c r="A3" s="16"/>
      <c r="B3" s="28" t="s">
        <v>83</v>
      </c>
      <c r="G3" s="23" t="s">
        <v>257</v>
      </c>
    </row>
    <row r="4" spans="1:15" ht="12.75" customHeight="1" x14ac:dyDescent="0.2">
      <c r="A4" s="16"/>
      <c r="B4" s="28"/>
      <c r="C4" s="23" t="s">
        <v>316</v>
      </c>
      <c r="E4" s="95">
        <v>3</v>
      </c>
    </row>
    <row r="5" spans="1:15" ht="12.75" customHeight="1" x14ac:dyDescent="0.2">
      <c r="A5" s="16"/>
      <c r="B5" s="28"/>
      <c r="C5" s="25" t="s">
        <v>213</v>
      </c>
      <c r="D5" s="114" t="s">
        <v>19</v>
      </c>
      <c r="E5" s="114" t="s">
        <v>74</v>
      </c>
      <c r="G5" s="55" t="s">
        <v>258</v>
      </c>
      <c r="H5" s="55" t="s">
        <v>259</v>
      </c>
      <c r="I5" s="55" t="s">
        <v>260</v>
      </c>
    </row>
    <row r="6" spans="1:15" ht="12.75" customHeight="1" x14ac:dyDescent="0.2">
      <c r="A6" s="16"/>
      <c r="B6" s="28"/>
      <c r="C6" s="85" t="s">
        <v>566</v>
      </c>
      <c r="D6" s="211" t="s">
        <v>78</v>
      </c>
      <c r="E6" s="136">
        <f>CHOOSE($E$4,G6,H6,I6)</f>
        <v>600</v>
      </c>
      <c r="G6" s="245">
        <v>600</v>
      </c>
      <c r="H6" s="245">
        <v>600</v>
      </c>
      <c r="I6" s="245">
        <v>600</v>
      </c>
      <c r="K6" s="23" t="s">
        <v>581</v>
      </c>
    </row>
    <row r="7" spans="1:15" ht="12.75" customHeight="1" x14ac:dyDescent="0.2">
      <c r="A7" s="16"/>
      <c r="B7" s="28"/>
      <c r="C7" s="23" t="s">
        <v>273</v>
      </c>
      <c r="D7" s="55" t="s">
        <v>0</v>
      </c>
      <c r="E7" s="136">
        <f>CHOOSE($E$4,G7,H7,I7)</f>
        <v>2800000.1</v>
      </c>
      <c r="G7" s="40">
        <v>2800000</v>
      </c>
      <c r="H7" s="40">
        <v>2800000</v>
      </c>
      <c r="I7" s="40">
        <f>G7*1+0.1</f>
        <v>2800000.1</v>
      </c>
      <c r="K7" s="23" t="s">
        <v>581</v>
      </c>
    </row>
    <row r="8" spans="1:15" ht="12.75" customHeight="1" x14ac:dyDescent="0.2">
      <c r="A8" s="16"/>
      <c r="B8" s="28"/>
      <c r="C8" s="23" t="s">
        <v>559</v>
      </c>
      <c r="D8" s="55" t="s">
        <v>33</v>
      </c>
      <c r="E8" s="136">
        <f>CHOOSE($E$4,G8,H8,I8)</f>
        <v>100</v>
      </c>
      <c r="F8" s="146"/>
      <c r="G8" s="40">
        <v>100</v>
      </c>
      <c r="H8" s="40">
        <v>100</v>
      </c>
      <c r="I8" s="40">
        <v>100</v>
      </c>
      <c r="K8" s="23" t="s">
        <v>581</v>
      </c>
    </row>
    <row r="9" spans="1:15" ht="12.75" customHeight="1" x14ac:dyDescent="0.2">
      <c r="A9" s="16"/>
      <c r="B9" s="28"/>
      <c r="C9" s="23" t="s">
        <v>291</v>
      </c>
      <c r="D9" s="55" t="s">
        <v>221</v>
      </c>
      <c r="E9" s="133">
        <f>CHOOSE($E$4,G9,H9,I9)</f>
        <v>4.4800000000000004</v>
      </c>
      <c r="G9" s="132">
        <v>5.19</v>
      </c>
      <c r="H9" s="275">
        <v>5.49</v>
      </c>
      <c r="I9" s="275">
        <v>4.4800000000000004</v>
      </c>
      <c r="K9" s="23" t="s">
        <v>581</v>
      </c>
      <c r="L9" s="23">
        <f>I9/G9</f>
        <v>0.86319845857418109</v>
      </c>
      <c r="N9" s="45">
        <f>E9*1000000/E7</f>
        <v>1.5999999428571448</v>
      </c>
    </row>
    <row r="10" spans="1:15" ht="12.75" customHeight="1" x14ac:dyDescent="0.2">
      <c r="A10" s="16"/>
      <c r="C10" s="23" t="s">
        <v>75</v>
      </c>
      <c r="D10" s="55"/>
      <c r="E10" s="134">
        <f t="shared" ref="E10:E21" si="0">CHOOSE($E$4,G10,H10,I10)</f>
        <v>1</v>
      </c>
      <c r="G10" s="72">
        <v>1</v>
      </c>
      <c r="H10" s="72">
        <v>1</v>
      </c>
      <c r="I10" s="72">
        <v>1</v>
      </c>
      <c r="K10" s="23" t="s">
        <v>582</v>
      </c>
      <c r="N10" s="45">
        <f>N9/K185</f>
        <v>3.5063998747714327</v>
      </c>
      <c r="O10" s="23" t="s">
        <v>605</v>
      </c>
    </row>
    <row r="11" spans="1:15" ht="12.75" customHeight="1" x14ac:dyDescent="0.2">
      <c r="A11" s="16"/>
      <c r="C11" s="23" t="s">
        <v>226</v>
      </c>
      <c r="D11" s="55"/>
      <c r="E11" s="134">
        <f t="shared" si="0"/>
        <v>0</v>
      </c>
      <c r="G11" s="72">
        <v>0</v>
      </c>
      <c r="H11" s="72">
        <v>0</v>
      </c>
      <c r="I11" s="72">
        <v>0</v>
      </c>
      <c r="K11" s="23" t="str">
        <f>IF(SUM(E10,E11)=1,"","NOT OK")</f>
        <v/>
      </c>
    </row>
    <row r="12" spans="1:15" ht="12.75" customHeight="1" x14ac:dyDescent="0.2">
      <c r="A12" s="16"/>
      <c r="C12" s="23" t="s">
        <v>224</v>
      </c>
      <c r="D12" s="55" t="s">
        <v>20</v>
      </c>
      <c r="E12" s="135">
        <f>CHOOSE($E$4,G12,H12,I12)</f>
        <v>0.04</v>
      </c>
      <c r="G12" s="36">
        <v>0.05</v>
      </c>
      <c r="H12" s="276">
        <v>0.06</v>
      </c>
      <c r="I12" s="276">
        <v>0.04</v>
      </c>
      <c r="K12" s="23" t="s">
        <v>583</v>
      </c>
    </row>
    <row r="13" spans="1:15" ht="12.75" customHeight="1" x14ac:dyDescent="0.2">
      <c r="A13" s="16"/>
      <c r="C13" s="23" t="s">
        <v>314</v>
      </c>
      <c r="D13" s="55" t="s">
        <v>33</v>
      </c>
      <c r="E13" s="136">
        <f t="shared" si="0"/>
        <v>30</v>
      </c>
      <c r="G13" s="40">
        <v>30</v>
      </c>
      <c r="H13" s="40">
        <v>30</v>
      </c>
      <c r="I13" s="40">
        <v>30</v>
      </c>
      <c r="K13" s="23" t="s">
        <v>581</v>
      </c>
    </row>
    <row r="14" spans="1:15" ht="12.75" customHeight="1" x14ac:dyDescent="0.2">
      <c r="A14" s="16"/>
      <c r="C14" s="23" t="s">
        <v>225</v>
      </c>
      <c r="D14" s="55" t="s">
        <v>20</v>
      </c>
      <c r="E14" s="135">
        <f>CHOOSE($E$4,G14,H14,I14)</f>
        <v>0.02</v>
      </c>
      <c r="G14" s="36">
        <v>0.02</v>
      </c>
      <c r="H14" s="276">
        <v>0.06</v>
      </c>
      <c r="I14" s="276">
        <v>0.02</v>
      </c>
      <c r="K14" s="23" t="s">
        <v>583</v>
      </c>
    </row>
    <row r="15" spans="1:15" ht="12.75" customHeight="1" x14ac:dyDescent="0.2">
      <c r="A15" s="16"/>
      <c r="C15" s="23" t="s">
        <v>569</v>
      </c>
      <c r="D15" s="55" t="s">
        <v>570</v>
      </c>
      <c r="E15" s="229">
        <f>CHOOSE($E$4,G15,H15,I15)</f>
        <v>1</v>
      </c>
      <c r="G15" s="228">
        <v>1</v>
      </c>
      <c r="H15" s="228">
        <v>0</v>
      </c>
      <c r="I15" s="228">
        <v>1</v>
      </c>
      <c r="K15" s="23" t="s">
        <v>583</v>
      </c>
    </row>
    <row r="16" spans="1:15" ht="12.75" customHeight="1" x14ac:dyDescent="0.2">
      <c r="A16" s="16"/>
      <c r="C16" s="23" t="s">
        <v>601</v>
      </c>
      <c r="D16" s="55" t="s">
        <v>20</v>
      </c>
      <c r="E16" s="135">
        <f t="shared" si="0"/>
        <v>0.02</v>
      </c>
      <c r="G16" s="36">
        <v>0.02</v>
      </c>
      <c r="H16" s="36">
        <v>0.02</v>
      </c>
      <c r="I16" s="36">
        <v>0.02</v>
      </c>
    </row>
    <row r="17" spans="1:18" ht="12.75" customHeight="1" x14ac:dyDescent="0.2">
      <c r="A17" s="16"/>
      <c r="C17" s="23" t="s">
        <v>580</v>
      </c>
      <c r="D17" s="55" t="s">
        <v>570</v>
      </c>
      <c r="E17" s="138">
        <f>CHOOSE($E$4,G17,H17,I17)</f>
        <v>1</v>
      </c>
      <c r="G17" s="44">
        <v>1</v>
      </c>
      <c r="H17" s="277">
        <v>1.25</v>
      </c>
      <c r="I17" s="277">
        <v>1</v>
      </c>
      <c r="K17" s="23" t="s">
        <v>583</v>
      </c>
    </row>
    <row r="18" spans="1:18" ht="12.75" customHeight="1" x14ac:dyDescent="0.2">
      <c r="A18" s="16"/>
      <c r="C18" s="23" t="s">
        <v>522</v>
      </c>
      <c r="D18" s="55" t="s">
        <v>274</v>
      </c>
      <c r="E18" s="137">
        <f t="shared" si="0"/>
        <v>2.5000000000000001E-2</v>
      </c>
      <c r="G18" s="120">
        <v>2.5000000000000001E-2</v>
      </c>
      <c r="H18" s="120">
        <v>2.5000000000000001E-2</v>
      </c>
      <c r="I18" s="120">
        <v>2.5000000000000001E-2</v>
      </c>
      <c r="K18" s="23" t="s">
        <v>571</v>
      </c>
    </row>
    <row r="19" spans="1:18" ht="12.75" customHeight="1" x14ac:dyDescent="0.2">
      <c r="A19" s="16"/>
      <c r="C19" s="23" t="s">
        <v>315</v>
      </c>
      <c r="D19" s="55" t="s">
        <v>221</v>
      </c>
      <c r="E19" s="60">
        <f t="shared" si="0"/>
        <v>1.7999999999999999E-2</v>
      </c>
      <c r="F19" s="122"/>
      <c r="G19" s="53">
        <v>1.7999999999999999E-2</v>
      </c>
      <c r="H19" s="53">
        <v>1.7999999999999999E-2</v>
      </c>
      <c r="I19" s="53">
        <v>1.7999999999999999E-2</v>
      </c>
      <c r="K19" s="23" t="s">
        <v>584</v>
      </c>
    </row>
    <row r="20" spans="1:18" ht="12.75" customHeight="1" x14ac:dyDescent="0.2">
      <c r="A20" s="16"/>
      <c r="C20" s="23" t="s">
        <v>261</v>
      </c>
      <c r="D20" s="55"/>
      <c r="E20" s="138">
        <f t="shared" si="0"/>
        <v>0.95</v>
      </c>
      <c r="G20" s="44">
        <v>0.95</v>
      </c>
      <c r="H20" s="44">
        <v>0.95</v>
      </c>
      <c r="I20" s="44">
        <v>0.95</v>
      </c>
      <c r="K20" s="23" t="s">
        <v>585</v>
      </c>
    </row>
    <row r="21" spans="1:18" ht="12.75" customHeight="1" x14ac:dyDescent="0.2">
      <c r="A21" s="16"/>
      <c r="C21" s="23" t="s">
        <v>567</v>
      </c>
      <c r="D21" s="113" t="s">
        <v>223</v>
      </c>
      <c r="E21" s="60">
        <f t="shared" si="0"/>
        <v>4.8000000000000001E-2</v>
      </c>
      <c r="G21" s="53">
        <f>'Chugach Electric data'!$J$6</f>
        <v>4.8000000000000001E-2</v>
      </c>
      <c r="H21" s="53">
        <f>'Chugach Electric data'!$J$6</f>
        <v>4.8000000000000001E-2</v>
      </c>
      <c r="I21" s="53">
        <f>'Chugach Electric data'!$J$6</f>
        <v>4.8000000000000001E-2</v>
      </c>
      <c r="K21" s="23" t="s">
        <v>586</v>
      </c>
    </row>
    <row r="22" spans="1:18" ht="12.75" customHeight="1" x14ac:dyDescent="0.2">
      <c r="A22" s="16"/>
      <c r="D22" s="55"/>
      <c r="E22" s="136"/>
      <c r="F22" s="99"/>
      <c r="G22" s="140"/>
      <c r="H22" s="140"/>
      <c r="I22" s="140"/>
    </row>
    <row r="23" spans="1:18" ht="12.75" customHeight="1" x14ac:dyDescent="0.2">
      <c r="A23" s="16"/>
      <c r="C23" s="23" t="s">
        <v>242</v>
      </c>
      <c r="D23" s="55"/>
      <c r="E23" s="138">
        <f>CHOOSE($E$4,G23,H23,I23)</f>
        <v>1.2</v>
      </c>
      <c r="G23" s="44">
        <v>1.3</v>
      </c>
      <c r="H23" s="44">
        <v>1.4</v>
      </c>
      <c r="I23" s="44">
        <v>1.2</v>
      </c>
      <c r="K23" s="23" t="s">
        <v>587</v>
      </c>
    </row>
    <row r="24" spans="1:18" ht="12.75" customHeight="1" x14ac:dyDescent="0.2">
      <c r="A24" s="16"/>
      <c r="C24" s="23" t="s">
        <v>524</v>
      </c>
      <c r="D24" s="55" t="s">
        <v>514</v>
      </c>
      <c r="E24" s="138">
        <f>CHOOSE($E$4,G24,H24,I24)</f>
        <v>2</v>
      </c>
      <c r="G24" s="53">
        <v>2</v>
      </c>
      <c r="H24" s="53">
        <v>2</v>
      </c>
      <c r="I24" s="53">
        <v>2</v>
      </c>
      <c r="K24" s="23" t="s">
        <v>588</v>
      </c>
    </row>
    <row r="25" spans="1:18" ht="12.75" customHeight="1" x14ac:dyDescent="0.2">
      <c r="A25" s="16"/>
      <c r="D25" s="55"/>
      <c r="E25" s="34"/>
      <c r="R25" s="99"/>
    </row>
    <row r="26" spans="1:18" ht="12.75" customHeight="1" x14ac:dyDescent="0.2">
      <c r="A26" s="16"/>
      <c r="B26" s="28" t="s">
        <v>102</v>
      </c>
      <c r="D26" s="55"/>
      <c r="F26" s="212"/>
      <c r="G26" s="213"/>
      <c r="R26" s="99"/>
    </row>
    <row r="27" spans="1:18" ht="12.75" customHeight="1" x14ac:dyDescent="0.2">
      <c r="A27" s="16"/>
      <c r="B27" s="28" t="s">
        <v>486</v>
      </c>
      <c r="D27" s="55"/>
      <c r="F27" s="213"/>
      <c r="G27" s="213"/>
      <c r="R27" s="99"/>
    </row>
    <row r="28" spans="1:18" ht="12.75" customHeight="1" x14ac:dyDescent="0.2">
      <c r="A28" s="16"/>
      <c r="C28" s="28" t="s">
        <v>521</v>
      </c>
      <c r="R28" s="99"/>
    </row>
    <row r="29" spans="1:18" ht="12.75" customHeight="1" x14ac:dyDescent="0.2">
      <c r="A29" s="16"/>
      <c r="C29" s="119"/>
      <c r="D29" s="25"/>
      <c r="E29" s="148">
        <v>2024</v>
      </c>
      <c r="F29" s="287">
        <v>2035</v>
      </c>
      <c r="G29" s="287">
        <v>2050</v>
      </c>
      <c r="H29" s="119">
        <v>2073</v>
      </c>
      <c r="R29" s="99"/>
    </row>
    <row r="30" spans="1:18" ht="12.75" customHeight="1" x14ac:dyDescent="0.2">
      <c r="A30" s="16"/>
      <c r="C30" s="23" t="s">
        <v>198</v>
      </c>
      <c r="D30" s="113" t="s">
        <v>223</v>
      </c>
      <c r="E30" s="100">
        <f>R86</f>
        <v>0.10194020566369887</v>
      </c>
      <c r="F30" s="214">
        <f>AC86</f>
        <v>7.9302742369397689E-2</v>
      </c>
      <c r="G30" s="215">
        <f>AR86</f>
        <v>5.685040607041545E-2</v>
      </c>
      <c r="H30" s="100">
        <f>+BO86</f>
        <v>6.7669170515574752E-3</v>
      </c>
    </row>
    <row r="31" spans="1:18" ht="12.75" customHeight="1" x14ac:dyDescent="0.2">
      <c r="A31" s="16"/>
      <c r="C31" s="73" t="s">
        <v>520</v>
      </c>
      <c r="D31" s="113" t="s">
        <v>223</v>
      </c>
      <c r="E31" s="100">
        <f>R87</f>
        <v>4.8000000000000001E-2</v>
      </c>
      <c r="F31" s="214">
        <f>AC87</f>
        <v>4.8000000000000001E-2</v>
      </c>
      <c r="G31" s="215">
        <f>AR87</f>
        <v>4.8000000000000001E-2</v>
      </c>
      <c r="H31" s="100">
        <f>+BO87</f>
        <v>4.8000000000000001E-2</v>
      </c>
      <c r="R31" s="99"/>
    </row>
    <row r="32" spans="1:18" ht="12.75" customHeight="1" x14ac:dyDescent="0.2">
      <c r="A32" s="16"/>
      <c r="C32" s="23" t="s">
        <v>507</v>
      </c>
      <c r="D32" s="113" t="s">
        <v>223</v>
      </c>
      <c r="E32" s="100">
        <f>R88</f>
        <v>0.14994020566369887</v>
      </c>
      <c r="F32" s="214">
        <f>AC88</f>
        <v>0.1273027423693977</v>
      </c>
      <c r="G32" s="215">
        <f>AR88</f>
        <v>0.10485040607041546</v>
      </c>
      <c r="H32" s="100">
        <f>+BO88</f>
        <v>5.4766917051557479E-2</v>
      </c>
      <c r="R32" s="99"/>
    </row>
    <row r="33" spans="1:67" ht="12.75" customHeight="1" x14ac:dyDescent="0.2">
      <c r="A33" s="16"/>
      <c r="E33" s="34"/>
      <c r="R33" s="99"/>
    </row>
    <row r="34" spans="1:67" ht="12.75" customHeight="1" x14ac:dyDescent="0.2">
      <c r="A34" s="16"/>
      <c r="C34" s="28" t="s">
        <v>317</v>
      </c>
      <c r="D34" s="55"/>
      <c r="E34" s="121">
        <v>2024</v>
      </c>
      <c r="F34" s="28">
        <v>2035</v>
      </c>
      <c r="G34" s="28">
        <v>2050</v>
      </c>
      <c r="H34" s="28">
        <v>2073</v>
      </c>
      <c r="R34" s="99"/>
    </row>
    <row r="35" spans="1:67" ht="12.75" customHeight="1" x14ac:dyDescent="0.2">
      <c r="A35" s="16"/>
      <c r="D35" s="55"/>
      <c r="E35" s="56"/>
      <c r="R35" s="99"/>
    </row>
    <row r="36" spans="1:67" ht="12.75" customHeight="1" x14ac:dyDescent="0.2">
      <c r="A36" s="16"/>
      <c r="C36" s="23" t="s">
        <v>198</v>
      </c>
      <c r="D36" s="113" t="s">
        <v>223</v>
      </c>
      <c r="E36" s="100">
        <f>R146</f>
        <v>0.10034819274652237</v>
      </c>
      <c r="F36" s="100">
        <f>AC146</f>
        <v>5.2281186916694623E-2</v>
      </c>
      <c r="G36" s="101">
        <f>AR146</f>
        <v>1.8808512790421006E-2</v>
      </c>
      <c r="H36" s="100">
        <f>+BO146</f>
        <v>1.1578539732816626E-2</v>
      </c>
      <c r="R36" s="99"/>
    </row>
    <row r="37" spans="1:67" ht="12.75" customHeight="1" x14ac:dyDescent="0.2">
      <c r="A37" s="16"/>
      <c r="C37" s="73" t="s">
        <v>520</v>
      </c>
      <c r="D37" s="113" t="s">
        <v>223</v>
      </c>
      <c r="E37" s="100">
        <f>R147</f>
        <v>4.8000000000000001E-2</v>
      </c>
      <c r="F37" s="100">
        <f>AC147</f>
        <v>4.8000000000000001E-2</v>
      </c>
      <c r="G37" s="101">
        <f>AR147</f>
        <v>4.8000000000000001E-2</v>
      </c>
      <c r="H37" s="100">
        <f>+BO147</f>
        <v>4.8000000000000001E-2</v>
      </c>
      <c r="R37" s="99"/>
    </row>
    <row r="38" spans="1:67" ht="12.75" customHeight="1" x14ac:dyDescent="0.2">
      <c r="A38" s="16"/>
      <c r="C38" s="23" t="s">
        <v>507</v>
      </c>
      <c r="D38" s="113" t="s">
        <v>223</v>
      </c>
      <c r="E38" s="100">
        <f>R148</f>
        <v>0.14834819274652239</v>
      </c>
      <c r="F38" s="101">
        <f>AC148</f>
        <v>0.10028118691669463</v>
      </c>
      <c r="G38" s="101">
        <f>AR148</f>
        <v>6.6808512790421007E-2</v>
      </c>
      <c r="H38" s="100">
        <f>+BO148</f>
        <v>5.9578539732816627E-2</v>
      </c>
      <c r="R38" s="99"/>
    </row>
    <row r="39" spans="1:67" ht="12.75" customHeight="1" x14ac:dyDescent="0.2">
      <c r="A39" s="16"/>
      <c r="D39" s="55"/>
      <c r="E39" s="100"/>
      <c r="F39" s="101"/>
      <c r="G39" s="101"/>
      <c r="H39" s="100"/>
      <c r="R39" s="99"/>
    </row>
    <row r="40" spans="1:67" ht="12.75" customHeight="1" x14ac:dyDescent="0.2">
      <c r="A40" s="16"/>
      <c r="E40" s="34"/>
      <c r="R40" s="99"/>
    </row>
    <row r="41" spans="1:67" ht="12.75" customHeight="1" x14ac:dyDescent="0.2">
      <c r="A41" s="16"/>
      <c r="B41" s="28" t="s">
        <v>196</v>
      </c>
      <c r="E41" s="34"/>
      <c r="R41" s="99"/>
    </row>
    <row r="42" spans="1:67" ht="12.75" customHeight="1" x14ac:dyDescent="0.2">
      <c r="A42" s="16"/>
      <c r="E42" s="130" t="s">
        <v>253</v>
      </c>
      <c r="R42" s="99">
        <v>1</v>
      </c>
      <c r="S42" s="23">
        <f>R42+1</f>
        <v>2</v>
      </c>
      <c r="T42" s="23">
        <f>S42+1</f>
        <v>3</v>
      </c>
      <c r="U42" s="23">
        <f t="shared" ref="U42:BO42" si="1">T42+1</f>
        <v>4</v>
      </c>
      <c r="V42" s="23">
        <f t="shared" si="1"/>
        <v>5</v>
      </c>
      <c r="W42" s="23">
        <f t="shared" si="1"/>
        <v>6</v>
      </c>
      <c r="X42" s="23">
        <f t="shared" si="1"/>
        <v>7</v>
      </c>
      <c r="Y42" s="23">
        <f t="shared" si="1"/>
        <v>8</v>
      </c>
      <c r="Z42" s="23">
        <f t="shared" si="1"/>
        <v>9</v>
      </c>
      <c r="AA42" s="23">
        <f t="shared" si="1"/>
        <v>10</v>
      </c>
      <c r="AB42" s="23">
        <f t="shared" si="1"/>
        <v>11</v>
      </c>
      <c r="AC42" s="23">
        <f t="shared" si="1"/>
        <v>12</v>
      </c>
      <c r="AD42" s="23">
        <f t="shared" si="1"/>
        <v>13</v>
      </c>
      <c r="AE42" s="23">
        <f t="shared" si="1"/>
        <v>14</v>
      </c>
      <c r="AF42" s="23">
        <f t="shared" si="1"/>
        <v>15</v>
      </c>
      <c r="AG42" s="23">
        <f t="shared" si="1"/>
        <v>16</v>
      </c>
      <c r="AH42" s="23">
        <f t="shared" si="1"/>
        <v>17</v>
      </c>
      <c r="AI42" s="23">
        <f t="shared" si="1"/>
        <v>18</v>
      </c>
      <c r="AJ42" s="23">
        <f t="shared" si="1"/>
        <v>19</v>
      </c>
      <c r="AK42" s="23">
        <f t="shared" si="1"/>
        <v>20</v>
      </c>
      <c r="AL42" s="23">
        <f t="shared" si="1"/>
        <v>21</v>
      </c>
      <c r="AM42" s="23">
        <f t="shared" si="1"/>
        <v>22</v>
      </c>
      <c r="AN42" s="23">
        <f t="shared" si="1"/>
        <v>23</v>
      </c>
      <c r="AO42" s="23">
        <f t="shared" si="1"/>
        <v>24</v>
      </c>
      <c r="AP42" s="23">
        <f t="shared" si="1"/>
        <v>25</v>
      </c>
      <c r="AQ42" s="23">
        <f t="shared" si="1"/>
        <v>26</v>
      </c>
      <c r="AR42" s="23">
        <f t="shared" si="1"/>
        <v>27</v>
      </c>
      <c r="AS42" s="23">
        <f t="shared" si="1"/>
        <v>28</v>
      </c>
      <c r="AT42" s="23">
        <f t="shared" si="1"/>
        <v>29</v>
      </c>
      <c r="AU42" s="23">
        <f t="shared" si="1"/>
        <v>30</v>
      </c>
      <c r="AV42" s="23">
        <f t="shared" si="1"/>
        <v>31</v>
      </c>
      <c r="AW42" s="23">
        <f t="shared" si="1"/>
        <v>32</v>
      </c>
      <c r="AX42" s="23">
        <f t="shared" si="1"/>
        <v>33</v>
      </c>
      <c r="AY42" s="23">
        <f t="shared" si="1"/>
        <v>34</v>
      </c>
      <c r="AZ42" s="23">
        <f t="shared" si="1"/>
        <v>35</v>
      </c>
      <c r="BA42" s="23">
        <f t="shared" si="1"/>
        <v>36</v>
      </c>
      <c r="BB42" s="23">
        <f t="shared" si="1"/>
        <v>37</v>
      </c>
      <c r="BC42" s="23">
        <f t="shared" si="1"/>
        <v>38</v>
      </c>
      <c r="BD42" s="23">
        <f t="shared" si="1"/>
        <v>39</v>
      </c>
      <c r="BE42" s="23">
        <f t="shared" si="1"/>
        <v>40</v>
      </c>
      <c r="BF42" s="23">
        <f t="shared" si="1"/>
        <v>41</v>
      </c>
      <c r="BG42" s="23">
        <f t="shared" si="1"/>
        <v>42</v>
      </c>
      <c r="BH42" s="23">
        <f t="shared" si="1"/>
        <v>43</v>
      </c>
      <c r="BI42" s="23">
        <f t="shared" si="1"/>
        <v>44</v>
      </c>
      <c r="BJ42" s="23">
        <f t="shared" si="1"/>
        <v>45</v>
      </c>
      <c r="BK42" s="23">
        <f t="shared" si="1"/>
        <v>46</v>
      </c>
      <c r="BL42" s="23">
        <f t="shared" si="1"/>
        <v>47</v>
      </c>
      <c r="BM42" s="23">
        <f t="shared" si="1"/>
        <v>48</v>
      </c>
      <c r="BN42" s="23">
        <f t="shared" si="1"/>
        <v>49</v>
      </c>
      <c r="BO42" s="23">
        <f t="shared" si="1"/>
        <v>50</v>
      </c>
    </row>
    <row r="43" spans="1:67" ht="12.75" customHeight="1" x14ac:dyDescent="0.2">
      <c r="E43" s="23" t="s">
        <v>23</v>
      </c>
      <c r="F43" s="23">
        <v>0</v>
      </c>
      <c r="G43" s="23">
        <v>1</v>
      </c>
      <c r="H43" s="23">
        <v>2</v>
      </c>
      <c r="I43" s="23">
        <v>3</v>
      </c>
      <c r="J43" s="23">
        <v>4</v>
      </c>
      <c r="K43" s="23">
        <v>5</v>
      </c>
      <c r="L43" s="23">
        <v>6</v>
      </c>
      <c r="M43" s="23">
        <v>7</v>
      </c>
      <c r="N43" s="23">
        <v>8</v>
      </c>
      <c r="O43" s="23">
        <v>9</v>
      </c>
      <c r="P43" s="23">
        <v>10</v>
      </c>
      <c r="Q43" s="23">
        <v>11</v>
      </c>
      <c r="R43" s="23">
        <v>12</v>
      </c>
      <c r="S43" s="23">
        <v>13</v>
      </c>
      <c r="T43" s="23">
        <v>14</v>
      </c>
      <c r="U43" s="23">
        <v>15</v>
      </c>
      <c r="V43" s="23">
        <v>16</v>
      </c>
      <c r="W43" s="23">
        <v>17</v>
      </c>
      <c r="X43" s="23">
        <v>18</v>
      </c>
      <c r="Y43" s="23">
        <v>19</v>
      </c>
      <c r="Z43" s="23">
        <v>20</v>
      </c>
      <c r="AA43" s="23">
        <v>21</v>
      </c>
      <c r="AB43" s="23">
        <v>22</v>
      </c>
      <c r="AC43" s="23">
        <v>23</v>
      </c>
      <c r="AD43" s="23">
        <v>24</v>
      </c>
      <c r="AE43" s="23">
        <v>25</v>
      </c>
      <c r="AF43" s="23">
        <v>26</v>
      </c>
      <c r="AG43" s="23">
        <v>27</v>
      </c>
      <c r="AH43" s="23">
        <v>28</v>
      </c>
      <c r="AI43" s="23">
        <v>29</v>
      </c>
      <c r="AJ43" s="23">
        <v>30</v>
      </c>
      <c r="AK43" s="23">
        <v>31</v>
      </c>
      <c r="AL43" s="23">
        <v>32</v>
      </c>
      <c r="AM43" s="23">
        <v>33</v>
      </c>
      <c r="AN43" s="23">
        <v>34</v>
      </c>
      <c r="AO43" s="23">
        <v>35</v>
      </c>
      <c r="AP43" s="23">
        <v>36</v>
      </c>
      <c r="AQ43" s="23">
        <v>37</v>
      </c>
      <c r="AR43" s="23">
        <v>38</v>
      </c>
      <c r="AS43" s="23">
        <v>39</v>
      </c>
      <c r="AT43" s="23">
        <v>40</v>
      </c>
      <c r="AU43" s="23">
        <v>41</v>
      </c>
      <c r="AV43" s="23">
        <v>42</v>
      </c>
      <c r="AW43" s="23">
        <v>43</v>
      </c>
      <c r="AX43" s="23">
        <v>44</v>
      </c>
      <c r="AY43" s="23">
        <v>45</v>
      </c>
      <c r="AZ43" s="23">
        <v>46</v>
      </c>
      <c r="BA43" s="23">
        <v>47</v>
      </c>
      <c r="BB43" s="23">
        <v>48</v>
      </c>
      <c r="BC43" s="23">
        <v>49</v>
      </c>
      <c r="BD43" s="23">
        <v>50</v>
      </c>
      <c r="BE43" s="23">
        <v>51</v>
      </c>
      <c r="BF43" s="23">
        <v>52</v>
      </c>
      <c r="BG43" s="23">
        <v>53</v>
      </c>
      <c r="BH43" s="23">
        <v>54</v>
      </c>
      <c r="BI43" s="23">
        <v>55</v>
      </c>
      <c r="BJ43" s="23">
        <v>56</v>
      </c>
      <c r="BK43" s="23">
        <v>57</v>
      </c>
      <c r="BL43" s="23">
        <v>58</v>
      </c>
      <c r="BM43" s="23">
        <v>59</v>
      </c>
      <c r="BN43" s="23">
        <v>60</v>
      </c>
      <c r="BO43" s="23">
        <v>61</v>
      </c>
    </row>
    <row r="44" spans="1:67" ht="12.75" customHeight="1" x14ac:dyDescent="0.2">
      <c r="C44" s="24" t="s">
        <v>10</v>
      </c>
      <c r="D44" s="24" t="s">
        <v>19</v>
      </c>
      <c r="E44" s="24" t="s">
        <v>22</v>
      </c>
      <c r="F44" s="86">
        <v>2012</v>
      </c>
      <c r="G44" s="25">
        <f>F44+1</f>
        <v>2013</v>
      </c>
      <c r="H44" s="25">
        <f t="shared" ref="H44:BO44" si="2">G44+1</f>
        <v>2014</v>
      </c>
      <c r="I44" s="25">
        <f t="shared" si="2"/>
        <v>2015</v>
      </c>
      <c r="J44" s="25">
        <f t="shared" si="2"/>
        <v>2016</v>
      </c>
      <c r="K44" s="25">
        <f t="shared" si="2"/>
        <v>2017</v>
      </c>
      <c r="L44" s="25">
        <f t="shared" si="2"/>
        <v>2018</v>
      </c>
      <c r="M44" s="25">
        <f t="shared" si="2"/>
        <v>2019</v>
      </c>
      <c r="N44" s="25">
        <f t="shared" si="2"/>
        <v>2020</v>
      </c>
      <c r="O44" s="25">
        <f t="shared" si="2"/>
        <v>2021</v>
      </c>
      <c r="P44" s="25">
        <f t="shared" si="2"/>
        <v>2022</v>
      </c>
      <c r="Q44" s="25">
        <f t="shared" si="2"/>
        <v>2023</v>
      </c>
      <c r="R44" s="25">
        <f t="shared" si="2"/>
        <v>2024</v>
      </c>
      <c r="S44" s="25">
        <f t="shared" si="2"/>
        <v>2025</v>
      </c>
      <c r="T44" s="25">
        <f t="shared" si="2"/>
        <v>2026</v>
      </c>
      <c r="U44" s="25">
        <f t="shared" si="2"/>
        <v>2027</v>
      </c>
      <c r="V44" s="25">
        <f t="shared" si="2"/>
        <v>2028</v>
      </c>
      <c r="W44" s="25">
        <f t="shared" si="2"/>
        <v>2029</v>
      </c>
      <c r="X44" s="25">
        <f t="shared" si="2"/>
        <v>2030</v>
      </c>
      <c r="Y44" s="25">
        <f t="shared" si="2"/>
        <v>2031</v>
      </c>
      <c r="Z44" s="25">
        <f t="shared" si="2"/>
        <v>2032</v>
      </c>
      <c r="AA44" s="25">
        <f t="shared" si="2"/>
        <v>2033</v>
      </c>
      <c r="AB44" s="25">
        <f t="shared" si="2"/>
        <v>2034</v>
      </c>
      <c r="AC44" s="25">
        <f t="shared" si="2"/>
        <v>2035</v>
      </c>
      <c r="AD44" s="25">
        <f t="shared" si="2"/>
        <v>2036</v>
      </c>
      <c r="AE44" s="25">
        <f t="shared" si="2"/>
        <v>2037</v>
      </c>
      <c r="AF44" s="25">
        <f t="shared" si="2"/>
        <v>2038</v>
      </c>
      <c r="AG44" s="25">
        <f t="shared" si="2"/>
        <v>2039</v>
      </c>
      <c r="AH44" s="25">
        <f t="shared" si="2"/>
        <v>2040</v>
      </c>
      <c r="AI44" s="25">
        <f t="shared" si="2"/>
        <v>2041</v>
      </c>
      <c r="AJ44" s="25">
        <f t="shared" si="2"/>
        <v>2042</v>
      </c>
      <c r="AK44" s="25">
        <f t="shared" si="2"/>
        <v>2043</v>
      </c>
      <c r="AL44" s="25">
        <f t="shared" si="2"/>
        <v>2044</v>
      </c>
      <c r="AM44" s="25">
        <f t="shared" si="2"/>
        <v>2045</v>
      </c>
      <c r="AN44" s="25">
        <f t="shared" si="2"/>
        <v>2046</v>
      </c>
      <c r="AO44" s="25">
        <f t="shared" si="2"/>
        <v>2047</v>
      </c>
      <c r="AP44" s="25">
        <f t="shared" si="2"/>
        <v>2048</v>
      </c>
      <c r="AQ44" s="25">
        <f t="shared" si="2"/>
        <v>2049</v>
      </c>
      <c r="AR44" s="25">
        <f t="shared" si="2"/>
        <v>2050</v>
      </c>
      <c r="AS44" s="25">
        <f t="shared" si="2"/>
        <v>2051</v>
      </c>
      <c r="AT44" s="25">
        <f t="shared" si="2"/>
        <v>2052</v>
      </c>
      <c r="AU44" s="25">
        <f t="shared" si="2"/>
        <v>2053</v>
      </c>
      <c r="AV44" s="25">
        <f t="shared" si="2"/>
        <v>2054</v>
      </c>
      <c r="AW44" s="25">
        <f t="shared" si="2"/>
        <v>2055</v>
      </c>
      <c r="AX44" s="25">
        <f t="shared" si="2"/>
        <v>2056</v>
      </c>
      <c r="AY44" s="25">
        <f t="shared" si="2"/>
        <v>2057</v>
      </c>
      <c r="AZ44" s="25">
        <f t="shared" si="2"/>
        <v>2058</v>
      </c>
      <c r="BA44" s="25">
        <f t="shared" si="2"/>
        <v>2059</v>
      </c>
      <c r="BB44" s="25">
        <f t="shared" si="2"/>
        <v>2060</v>
      </c>
      <c r="BC44" s="25">
        <f t="shared" si="2"/>
        <v>2061</v>
      </c>
      <c r="BD44" s="25">
        <f t="shared" si="2"/>
        <v>2062</v>
      </c>
      <c r="BE44" s="25">
        <f t="shared" si="2"/>
        <v>2063</v>
      </c>
      <c r="BF44" s="25">
        <f t="shared" si="2"/>
        <v>2064</v>
      </c>
      <c r="BG44" s="25">
        <f t="shared" si="2"/>
        <v>2065</v>
      </c>
      <c r="BH44" s="25">
        <f t="shared" si="2"/>
        <v>2066</v>
      </c>
      <c r="BI44" s="25">
        <f t="shared" si="2"/>
        <v>2067</v>
      </c>
      <c r="BJ44" s="25">
        <f t="shared" si="2"/>
        <v>2068</v>
      </c>
      <c r="BK44" s="25">
        <f t="shared" si="2"/>
        <v>2069</v>
      </c>
      <c r="BL44" s="25">
        <f t="shared" si="2"/>
        <v>2070</v>
      </c>
      <c r="BM44" s="25">
        <f t="shared" si="2"/>
        <v>2071</v>
      </c>
      <c r="BN44" s="25">
        <f t="shared" si="2"/>
        <v>2072</v>
      </c>
      <c r="BO44" s="25">
        <f t="shared" si="2"/>
        <v>2073</v>
      </c>
    </row>
    <row r="46" spans="1:67" ht="12.75" customHeight="1" x14ac:dyDescent="0.2">
      <c r="B46" s="17" t="s">
        <v>493</v>
      </c>
    </row>
    <row r="47" spans="1:67" ht="12.75" customHeight="1" x14ac:dyDescent="0.2">
      <c r="C47" s="23" t="str">
        <f>"Inflation index @ "&amp;E18*100&amp;"% per yr"</f>
        <v>Inflation index @ 2.5% per yr</v>
      </c>
      <c r="F47" s="26">
        <f>(1+$E$18)^(F44-$F$44)</f>
        <v>1</v>
      </c>
      <c r="G47" s="26">
        <f t="shared" ref="G47:AL47" si="3">F47*(1+$E$18)</f>
        <v>1.0249999999999999</v>
      </c>
      <c r="H47" s="26">
        <f t="shared" si="3"/>
        <v>1.0506249999999999</v>
      </c>
      <c r="I47" s="26">
        <f t="shared" si="3"/>
        <v>1.0768906249999999</v>
      </c>
      <c r="J47" s="26">
        <f t="shared" si="3"/>
        <v>1.1038128906249998</v>
      </c>
      <c r="K47" s="26">
        <f t="shared" si="3"/>
        <v>1.1314082128906247</v>
      </c>
      <c r="L47" s="26">
        <f t="shared" si="3"/>
        <v>1.1596934182128902</v>
      </c>
      <c r="M47" s="26">
        <f t="shared" si="3"/>
        <v>1.1886857536682123</v>
      </c>
      <c r="N47" s="26">
        <f t="shared" si="3"/>
        <v>1.2184028975099175</v>
      </c>
      <c r="O47" s="26">
        <f t="shared" si="3"/>
        <v>1.2488629699476652</v>
      </c>
      <c r="P47" s="26">
        <f t="shared" si="3"/>
        <v>1.2800845441963566</v>
      </c>
      <c r="Q47" s="26">
        <f t="shared" si="3"/>
        <v>1.3120866578012655</v>
      </c>
      <c r="R47" s="26">
        <f t="shared" si="3"/>
        <v>1.3448888242462971</v>
      </c>
      <c r="S47" s="26">
        <f t="shared" si="3"/>
        <v>1.3785110448524545</v>
      </c>
      <c r="T47" s="26">
        <f t="shared" si="3"/>
        <v>1.4129738209737657</v>
      </c>
      <c r="U47" s="26">
        <f t="shared" si="3"/>
        <v>1.4482981664981096</v>
      </c>
      <c r="V47" s="26">
        <f t="shared" si="3"/>
        <v>1.4845056206605622</v>
      </c>
      <c r="W47" s="26">
        <f t="shared" si="3"/>
        <v>1.5216182611770761</v>
      </c>
      <c r="X47" s="26">
        <f t="shared" si="3"/>
        <v>1.5596587177065029</v>
      </c>
      <c r="Y47" s="26">
        <f t="shared" si="3"/>
        <v>1.5986501856491653</v>
      </c>
      <c r="Z47" s="26">
        <f t="shared" si="3"/>
        <v>1.6386164402903942</v>
      </c>
      <c r="AA47" s="26">
        <f t="shared" si="3"/>
        <v>1.6795818512976539</v>
      </c>
      <c r="AB47" s="26">
        <f t="shared" si="3"/>
        <v>1.721571397580095</v>
      </c>
      <c r="AC47" s="26">
        <f t="shared" si="3"/>
        <v>1.7646106825195973</v>
      </c>
      <c r="AD47" s="26">
        <f t="shared" si="3"/>
        <v>1.8087259495825871</v>
      </c>
      <c r="AE47" s="26">
        <f t="shared" si="3"/>
        <v>1.8539440983221516</v>
      </c>
      <c r="AF47" s="26">
        <f t="shared" si="3"/>
        <v>1.9002927007802053</v>
      </c>
      <c r="AG47" s="26">
        <f t="shared" si="3"/>
        <v>1.9478000182997102</v>
      </c>
      <c r="AH47" s="26">
        <f t="shared" si="3"/>
        <v>1.9964950187572028</v>
      </c>
      <c r="AI47" s="26">
        <f t="shared" si="3"/>
        <v>2.0464073942261325</v>
      </c>
      <c r="AJ47" s="26">
        <f t="shared" si="3"/>
        <v>2.0975675790817858</v>
      </c>
      <c r="AK47" s="26">
        <f t="shared" si="3"/>
        <v>2.1500067685588302</v>
      </c>
      <c r="AL47" s="26">
        <f t="shared" si="3"/>
        <v>2.2037569377728006</v>
      </c>
      <c r="AM47" s="26">
        <f t="shared" ref="AM47:BO47" si="4">AL47*(1+$E$18)</f>
        <v>2.2588508612171205</v>
      </c>
      <c r="AN47" s="26">
        <f t="shared" si="4"/>
        <v>2.3153221327475482</v>
      </c>
      <c r="AO47" s="26">
        <f t="shared" si="4"/>
        <v>2.3732051860662366</v>
      </c>
      <c r="AP47" s="26">
        <f t="shared" si="4"/>
        <v>2.4325353157178924</v>
      </c>
      <c r="AQ47" s="26">
        <f t="shared" si="4"/>
        <v>2.4933486986108395</v>
      </c>
      <c r="AR47" s="26">
        <f t="shared" si="4"/>
        <v>2.5556824160761105</v>
      </c>
      <c r="AS47" s="26">
        <f t="shared" si="4"/>
        <v>2.6195744764780131</v>
      </c>
      <c r="AT47" s="26">
        <f t="shared" si="4"/>
        <v>2.6850638383899632</v>
      </c>
      <c r="AU47" s="26">
        <f t="shared" si="4"/>
        <v>2.7521904343497119</v>
      </c>
      <c r="AV47" s="26">
        <f t="shared" si="4"/>
        <v>2.8209951952084547</v>
      </c>
      <c r="AW47" s="26">
        <f t="shared" si="4"/>
        <v>2.8915200750886658</v>
      </c>
      <c r="AX47" s="26">
        <f t="shared" si="4"/>
        <v>2.9638080769658823</v>
      </c>
      <c r="AY47" s="26">
        <f t="shared" si="4"/>
        <v>3.0379032788900293</v>
      </c>
      <c r="AZ47" s="26">
        <f t="shared" si="4"/>
        <v>3.1138508608622799</v>
      </c>
      <c r="BA47" s="26">
        <f t="shared" si="4"/>
        <v>3.1916971323838368</v>
      </c>
      <c r="BB47" s="26">
        <f t="shared" si="4"/>
        <v>3.2714895606934324</v>
      </c>
      <c r="BC47" s="26">
        <f t="shared" si="4"/>
        <v>3.353276799710768</v>
      </c>
      <c r="BD47" s="26">
        <f t="shared" si="4"/>
        <v>3.437108719703537</v>
      </c>
      <c r="BE47" s="26">
        <f t="shared" si="4"/>
        <v>3.523036437696125</v>
      </c>
      <c r="BF47" s="26">
        <f t="shared" si="4"/>
        <v>3.6111123486385277</v>
      </c>
      <c r="BG47" s="26">
        <f t="shared" si="4"/>
        <v>3.7013901573544907</v>
      </c>
      <c r="BH47" s="26">
        <f t="shared" si="4"/>
        <v>3.7939249112883529</v>
      </c>
      <c r="BI47" s="26">
        <f t="shared" si="4"/>
        <v>3.8887730340705615</v>
      </c>
      <c r="BJ47" s="26">
        <f t="shared" si="4"/>
        <v>3.9859923599223253</v>
      </c>
      <c r="BK47" s="26">
        <f t="shared" si="4"/>
        <v>4.0856421689203835</v>
      </c>
      <c r="BL47" s="26">
        <f t="shared" si="4"/>
        <v>4.1877832231433922</v>
      </c>
      <c r="BM47" s="26">
        <f t="shared" si="4"/>
        <v>4.2924778037219768</v>
      </c>
      <c r="BN47" s="26">
        <f t="shared" si="4"/>
        <v>4.3997897488150262</v>
      </c>
      <c r="BO47" s="26">
        <f t="shared" si="4"/>
        <v>4.5097844925354016</v>
      </c>
    </row>
    <row r="48" spans="1:67" ht="12.75" customHeight="1" x14ac:dyDescent="0.2">
      <c r="C48" s="27"/>
      <c r="D48" s="27"/>
      <c r="F48" s="26"/>
      <c r="G48" s="26"/>
      <c r="H48" s="26"/>
      <c r="I48" s="26"/>
    </row>
    <row r="49" spans="1:67" ht="12.75" customHeight="1" x14ac:dyDescent="0.2">
      <c r="B49" s="28" t="s">
        <v>488</v>
      </c>
      <c r="C49" s="27"/>
      <c r="D49" s="27"/>
      <c r="E49" s="37"/>
      <c r="F49" s="26"/>
      <c r="G49" s="26"/>
      <c r="H49" s="26"/>
      <c r="I49" s="26"/>
    </row>
    <row r="50" spans="1:67" ht="12.75" customHeight="1" x14ac:dyDescent="0.2">
      <c r="B50" s="28"/>
      <c r="C50" s="27" t="s">
        <v>495</v>
      </c>
      <c r="D50" s="27" t="s">
        <v>492</v>
      </c>
      <c r="E50" s="59">
        <f>SUM(F50:R50)</f>
        <v>6875</v>
      </c>
      <c r="F50" s="40">
        <f>32+54+54</f>
        <v>140</v>
      </c>
      <c r="G50" s="40">
        <v>48</v>
      </c>
      <c r="H50" s="40">
        <v>62</v>
      </c>
      <c r="I50" s="40">
        <v>62</v>
      </c>
      <c r="J50" s="40">
        <v>690</v>
      </c>
      <c r="K50" s="40">
        <v>690</v>
      </c>
      <c r="L50" s="40">
        <v>883</v>
      </c>
      <c r="M50" s="40">
        <v>992</v>
      </c>
      <c r="N50" s="40">
        <v>992</v>
      </c>
      <c r="O50" s="40">
        <v>772</v>
      </c>
      <c r="P50" s="40">
        <v>772</v>
      </c>
      <c r="Q50" s="40">
        <v>772</v>
      </c>
      <c r="R50" s="140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</row>
    <row r="51" spans="1:67" ht="12.75" customHeight="1" x14ac:dyDescent="0.2">
      <c r="C51" s="27" t="s">
        <v>487</v>
      </c>
      <c r="D51" s="27" t="s">
        <v>203</v>
      </c>
      <c r="E51" s="58">
        <f>SUM(F51:R51)</f>
        <v>0.99999999999999989</v>
      </c>
      <c r="F51" s="135">
        <f t="shared" ref="F51:R51" si="5">F50/$E$50</f>
        <v>2.0363636363636365E-2</v>
      </c>
      <c r="G51" s="135">
        <f t="shared" si="5"/>
        <v>6.9818181818181819E-3</v>
      </c>
      <c r="H51" s="135">
        <f t="shared" si="5"/>
        <v>9.0181818181818175E-3</v>
      </c>
      <c r="I51" s="135">
        <f t="shared" si="5"/>
        <v>9.0181818181818175E-3</v>
      </c>
      <c r="J51" s="135">
        <f t="shared" si="5"/>
        <v>0.10036363636363636</v>
      </c>
      <c r="K51" s="135">
        <f t="shared" si="5"/>
        <v>0.10036363636363636</v>
      </c>
      <c r="L51" s="135">
        <f t="shared" si="5"/>
        <v>0.12843636363636363</v>
      </c>
      <c r="M51" s="135">
        <f t="shared" si="5"/>
        <v>0.14429090909090908</v>
      </c>
      <c r="N51" s="135">
        <f t="shared" si="5"/>
        <v>0.14429090909090908</v>
      </c>
      <c r="O51" s="135">
        <f t="shared" si="5"/>
        <v>0.11229090909090909</v>
      </c>
      <c r="P51" s="135">
        <f t="shared" si="5"/>
        <v>0.11229090909090909</v>
      </c>
      <c r="Q51" s="135">
        <f t="shared" si="5"/>
        <v>0.11229090909090909</v>
      </c>
      <c r="R51" s="152">
        <f t="shared" si="5"/>
        <v>0</v>
      </c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</row>
    <row r="52" spans="1:67" ht="12.75" customHeight="1" x14ac:dyDescent="0.2">
      <c r="C52" s="27" t="s">
        <v>494</v>
      </c>
      <c r="D52" s="27" t="s">
        <v>221</v>
      </c>
      <c r="E52" s="58"/>
      <c r="F52" s="60">
        <f>F51*$E$9</f>
        <v>9.1229090909090926E-2</v>
      </c>
      <c r="G52" s="60">
        <f t="shared" ref="G52:Q52" si="6">G51*$E$9</f>
        <v>3.1278545454545455E-2</v>
      </c>
      <c r="H52" s="60">
        <f t="shared" si="6"/>
        <v>4.0401454545454546E-2</v>
      </c>
      <c r="I52" s="60">
        <f t="shared" si="6"/>
        <v>4.0401454545454546E-2</v>
      </c>
      <c r="J52" s="60">
        <f t="shared" si="6"/>
        <v>0.44962909090909092</v>
      </c>
      <c r="K52" s="60">
        <f t="shared" si="6"/>
        <v>0.44962909090909092</v>
      </c>
      <c r="L52" s="60">
        <f t="shared" si="6"/>
        <v>0.57539490909090907</v>
      </c>
      <c r="M52" s="60">
        <f t="shared" si="6"/>
        <v>0.64642327272727274</v>
      </c>
      <c r="N52" s="60">
        <f t="shared" si="6"/>
        <v>0.64642327272727274</v>
      </c>
      <c r="O52" s="60">
        <f t="shared" si="6"/>
        <v>0.5030632727272728</v>
      </c>
      <c r="P52" s="60">
        <f t="shared" si="6"/>
        <v>0.5030632727272728</v>
      </c>
      <c r="Q52" s="60">
        <f t="shared" si="6"/>
        <v>0.5030632727272728</v>
      </c>
      <c r="R52" s="152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</row>
    <row r="53" spans="1:67" ht="12.75" customHeight="1" x14ac:dyDescent="0.2">
      <c r="C53" s="27" t="s">
        <v>494</v>
      </c>
      <c r="D53" s="27" t="s">
        <v>491</v>
      </c>
      <c r="E53" s="74">
        <f>SUM(F53:Q53)</f>
        <v>5.3698277923539885</v>
      </c>
      <c r="F53" s="60">
        <f t="shared" ref="F53:AK53" si="7">F51*$E$9*F47</f>
        <v>9.1229090909090926E-2</v>
      </c>
      <c r="G53" s="60">
        <f t="shared" si="7"/>
        <v>3.2060509090909087E-2</v>
      </c>
      <c r="H53" s="60">
        <f t="shared" si="7"/>
        <v>4.2446778181818176E-2</v>
      </c>
      <c r="I53" s="60">
        <f t="shared" si="7"/>
        <v>4.3507947636363634E-2</v>
      </c>
      <c r="J53" s="60">
        <f t="shared" si="7"/>
        <v>0.49630638654545445</v>
      </c>
      <c r="K53" s="60">
        <f t="shared" si="7"/>
        <v>0.50871404620909078</v>
      </c>
      <c r="L53" s="60">
        <f t="shared" si="7"/>
        <v>0.66728168894593154</v>
      </c>
      <c r="M53" s="60">
        <f t="shared" si="7"/>
        <v>0.76839413513049049</v>
      </c>
      <c r="N53" s="60">
        <f t="shared" si="7"/>
        <v>0.78760398850875268</v>
      </c>
      <c r="O53" s="60">
        <f t="shared" si="7"/>
        <v>0.62825709284977416</v>
      </c>
      <c r="P53" s="60">
        <f t="shared" si="7"/>
        <v>0.64396352017101843</v>
      </c>
      <c r="Q53" s="60">
        <f t="shared" si="7"/>
        <v>0.66006260817529394</v>
      </c>
      <c r="R53" s="60">
        <f t="shared" si="7"/>
        <v>0</v>
      </c>
      <c r="S53" s="60">
        <f t="shared" si="7"/>
        <v>0</v>
      </c>
      <c r="T53" s="60">
        <f t="shared" si="7"/>
        <v>0</v>
      </c>
      <c r="U53" s="60">
        <f t="shared" si="7"/>
        <v>0</v>
      </c>
      <c r="V53" s="60">
        <f t="shared" si="7"/>
        <v>0</v>
      </c>
      <c r="W53" s="60">
        <f t="shared" si="7"/>
        <v>0</v>
      </c>
      <c r="X53" s="60">
        <f t="shared" si="7"/>
        <v>0</v>
      </c>
      <c r="Y53" s="60">
        <f t="shared" si="7"/>
        <v>0</v>
      </c>
      <c r="Z53" s="60">
        <f t="shared" si="7"/>
        <v>0</v>
      </c>
      <c r="AA53" s="60">
        <f t="shared" si="7"/>
        <v>0</v>
      </c>
      <c r="AB53" s="60">
        <f t="shared" si="7"/>
        <v>0</v>
      </c>
      <c r="AC53" s="60">
        <f t="shared" si="7"/>
        <v>0</v>
      </c>
      <c r="AD53" s="60">
        <f t="shared" si="7"/>
        <v>0</v>
      </c>
      <c r="AE53" s="60">
        <f t="shared" si="7"/>
        <v>0</v>
      </c>
      <c r="AF53" s="60">
        <f t="shared" si="7"/>
        <v>0</v>
      </c>
      <c r="AG53" s="60">
        <f t="shared" si="7"/>
        <v>0</v>
      </c>
      <c r="AH53" s="60">
        <f t="shared" si="7"/>
        <v>0</v>
      </c>
      <c r="AI53" s="60">
        <f t="shared" si="7"/>
        <v>0</v>
      </c>
      <c r="AJ53" s="60">
        <f t="shared" si="7"/>
        <v>0</v>
      </c>
      <c r="AK53" s="60">
        <f t="shared" si="7"/>
        <v>0</v>
      </c>
      <c r="AL53" s="60">
        <f t="shared" ref="AL53:BO53" si="8">AL51*$E$9*AL47</f>
        <v>0</v>
      </c>
      <c r="AM53" s="60">
        <f t="shared" si="8"/>
        <v>0</v>
      </c>
      <c r="AN53" s="60">
        <f t="shared" si="8"/>
        <v>0</v>
      </c>
      <c r="AO53" s="60">
        <f t="shared" si="8"/>
        <v>0</v>
      </c>
      <c r="AP53" s="60">
        <f t="shared" si="8"/>
        <v>0</v>
      </c>
      <c r="AQ53" s="60">
        <f t="shared" si="8"/>
        <v>0</v>
      </c>
      <c r="AR53" s="60">
        <f t="shared" si="8"/>
        <v>0</v>
      </c>
      <c r="AS53" s="60">
        <f t="shared" si="8"/>
        <v>0</v>
      </c>
      <c r="AT53" s="60">
        <f t="shared" si="8"/>
        <v>0</v>
      </c>
      <c r="AU53" s="60">
        <f t="shared" si="8"/>
        <v>0</v>
      </c>
      <c r="AV53" s="60">
        <f t="shared" si="8"/>
        <v>0</v>
      </c>
      <c r="AW53" s="60">
        <f t="shared" si="8"/>
        <v>0</v>
      </c>
      <c r="AX53" s="60">
        <f t="shared" si="8"/>
        <v>0</v>
      </c>
      <c r="AY53" s="60">
        <f t="shared" si="8"/>
        <v>0</v>
      </c>
      <c r="AZ53" s="60">
        <f t="shared" si="8"/>
        <v>0</v>
      </c>
      <c r="BA53" s="60">
        <f t="shared" si="8"/>
        <v>0</v>
      </c>
      <c r="BB53" s="60">
        <f t="shared" si="8"/>
        <v>0</v>
      </c>
      <c r="BC53" s="60">
        <f t="shared" si="8"/>
        <v>0</v>
      </c>
      <c r="BD53" s="60">
        <f t="shared" si="8"/>
        <v>0</v>
      </c>
      <c r="BE53" s="60">
        <f t="shared" si="8"/>
        <v>0</v>
      </c>
      <c r="BF53" s="60">
        <f t="shared" si="8"/>
        <v>0</v>
      </c>
      <c r="BG53" s="60">
        <f t="shared" si="8"/>
        <v>0</v>
      </c>
      <c r="BH53" s="60">
        <f t="shared" si="8"/>
        <v>0</v>
      </c>
      <c r="BI53" s="60">
        <f t="shared" si="8"/>
        <v>0</v>
      </c>
      <c r="BJ53" s="60">
        <f t="shared" si="8"/>
        <v>0</v>
      </c>
      <c r="BK53" s="60">
        <f t="shared" si="8"/>
        <v>0</v>
      </c>
      <c r="BL53" s="60">
        <f t="shared" si="8"/>
        <v>0</v>
      </c>
      <c r="BM53" s="60">
        <f t="shared" si="8"/>
        <v>0</v>
      </c>
      <c r="BN53" s="60">
        <f t="shared" si="8"/>
        <v>0</v>
      </c>
      <c r="BO53" s="60">
        <f t="shared" si="8"/>
        <v>0</v>
      </c>
    </row>
    <row r="54" spans="1:67" ht="12.75" customHeight="1" x14ac:dyDescent="0.2">
      <c r="C54" s="38" t="s">
        <v>80</v>
      </c>
      <c r="D54" s="27" t="s">
        <v>491</v>
      </c>
      <c r="F54" s="58">
        <f t="shared" ref="F54:AK54" si="9">F53*$E$10</f>
        <v>9.1229090909090926E-2</v>
      </c>
      <c r="G54" s="58">
        <f t="shared" si="9"/>
        <v>3.2060509090909087E-2</v>
      </c>
      <c r="H54" s="58">
        <f t="shared" si="9"/>
        <v>4.2446778181818176E-2</v>
      </c>
      <c r="I54" s="58">
        <f t="shared" si="9"/>
        <v>4.3507947636363634E-2</v>
      </c>
      <c r="J54" s="58">
        <f t="shared" si="9"/>
        <v>0.49630638654545445</v>
      </c>
      <c r="K54" s="58">
        <f t="shared" si="9"/>
        <v>0.50871404620909078</v>
      </c>
      <c r="L54" s="58">
        <f t="shared" si="9"/>
        <v>0.66728168894593154</v>
      </c>
      <c r="M54" s="58">
        <f t="shared" si="9"/>
        <v>0.76839413513049049</v>
      </c>
      <c r="N54" s="58">
        <f t="shared" si="9"/>
        <v>0.78760398850875268</v>
      </c>
      <c r="O54" s="58">
        <f t="shared" si="9"/>
        <v>0.62825709284977416</v>
      </c>
      <c r="P54" s="58">
        <f t="shared" si="9"/>
        <v>0.64396352017101843</v>
      </c>
      <c r="Q54" s="58">
        <f t="shared" si="9"/>
        <v>0.66006260817529394</v>
      </c>
      <c r="R54" s="58">
        <f t="shared" si="9"/>
        <v>0</v>
      </c>
      <c r="S54" s="58">
        <f t="shared" si="9"/>
        <v>0</v>
      </c>
      <c r="T54" s="58">
        <f t="shared" si="9"/>
        <v>0</v>
      </c>
      <c r="U54" s="58">
        <f t="shared" si="9"/>
        <v>0</v>
      </c>
      <c r="V54" s="58">
        <f t="shared" si="9"/>
        <v>0</v>
      </c>
      <c r="W54" s="58">
        <f t="shared" si="9"/>
        <v>0</v>
      </c>
      <c r="X54" s="58">
        <f t="shared" si="9"/>
        <v>0</v>
      </c>
      <c r="Y54" s="58">
        <f t="shared" si="9"/>
        <v>0</v>
      </c>
      <c r="Z54" s="58">
        <f t="shared" si="9"/>
        <v>0</v>
      </c>
      <c r="AA54" s="58">
        <f t="shared" si="9"/>
        <v>0</v>
      </c>
      <c r="AB54" s="58">
        <f t="shared" si="9"/>
        <v>0</v>
      </c>
      <c r="AC54" s="58">
        <f t="shared" si="9"/>
        <v>0</v>
      </c>
      <c r="AD54" s="58">
        <f t="shared" si="9"/>
        <v>0</v>
      </c>
      <c r="AE54" s="58">
        <f t="shared" si="9"/>
        <v>0</v>
      </c>
      <c r="AF54" s="58">
        <f t="shared" si="9"/>
        <v>0</v>
      </c>
      <c r="AG54" s="58">
        <f t="shared" si="9"/>
        <v>0</v>
      </c>
      <c r="AH54" s="58">
        <f t="shared" si="9"/>
        <v>0</v>
      </c>
      <c r="AI54" s="58">
        <f t="shared" si="9"/>
        <v>0</v>
      </c>
      <c r="AJ54" s="58">
        <f t="shared" si="9"/>
        <v>0</v>
      </c>
      <c r="AK54" s="58">
        <f t="shared" si="9"/>
        <v>0</v>
      </c>
      <c r="AL54" s="58">
        <f t="shared" ref="AL54:BO54" si="10">AL53*$E$10</f>
        <v>0</v>
      </c>
      <c r="AM54" s="58">
        <f t="shared" si="10"/>
        <v>0</v>
      </c>
      <c r="AN54" s="58">
        <f t="shared" si="10"/>
        <v>0</v>
      </c>
      <c r="AO54" s="58">
        <f t="shared" si="10"/>
        <v>0</v>
      </c>
      <c r="AP54" s="58">
        <f t="shared" si="10"/>
        <v>0</v>
      </c>
      <c r="AQ54" s="58">
        <f t="shared" si="10"/>
        <v>0</v>
      </c>
      <c r="AR54" s="58">
        <f t="shared" si="10"/>
        <v>0</v>
      </c>
      <c r="AS54" s="58">
        <f t="shared" si="10"/>
        <v>0</v>
      </c>
      <c r="AT54" s="58">
        <f t="shared" si="10"/>
        <v>0</v>
      </c>
      <c r="AU54" s="58">
        <f t="shared" si="10"/>
        <v>0</v>
      </c>
      <c r="AV54" s="58">
        <f t="shared" si="10"/>
        <v>0</v>
      </c>
      <c r="AW54" s="58">
        <f t="shared" si="10"/>
        <v>0</v>
      </c>
      <c r="AX54" s="58">
        <f t="shared" si="10"/>
        <v>0</v>
      </c>
      <c r="AY54" s="58">
        <f t="shared" si="10"/>
        <v>0</v>
      </c>
      <c r="AZ54" s="58">
        <f t="shared" si="10"/>
        <v>0</v>
      </c>
      <c r="BA54" s="58">
        <f t="shared" si="10"/>
        <v>0</v>
      </c>
      <c r="BB54" s="58">
        <f t="shared" si="10"/>
        <v>0</v>
      </c>
      <c r="BC54" s="58">
        <f t="shared" si="10"/>
        <v>0</v>
      </c>
      <c r="BD54" s="58">
        <f t="shared" si="10"/>
        <v>0</v>
      </c>
      <c r="BE54" s="58">
        <f t="shared" si="10"/>
        <v>0</v>
      </c>
      <c r="BF54" s="58">
        <f t="shared" si="10"/>
        <v>0</v>
      </c>
      <c r="BG54" s="58">
        <f t="shared" si="10"/>
        <v>0</v>
      </c>
      <c r="BH54" s="58">
        <f t="shared" si="10"/>
        <v>0</v>
      </c>
      <c r="BI54" s="58">
        <f t="shared" si="10"/>
        <v>0</v>
      </c>
      <c r="BJ54" s="58">
        <f t="shared" si="10"/>
        <v>0</v>
      </c>
      <c r="BK54" s="58">
        <f t="shared" si="10"/>
        <v>0</v>
      </c>
      <c r="BL54" s="58">
        <f t="shared" si="10"/>
        <v>0</v>
      </c>
      <c r="BM54" s="58">
        <f t="shared" si="10"/>
        <v>0</v>
      </c>
      <c r="BN54" s="58">
        <f t="shared" si="10"/>
        <v>0</v>
      </c>
      <c r="BO54" s="58">
        <f t="shared" si="10"/>
        <v>0</v>
      </c>
    </row>
    <row r="55" spans="1:67" ht="12.75" customHeight="1" x14ac:dyDescent="0.2">
      <c r="C55" s="38" t="s">
        <v>81</v>
      </c>
      <c r="D55" s="27" t="s">
        <v>491</v>
      </c>
      <c r="F55" s="58">
        <f t="shared" ref="F55:AK55" si="11">F53*$E$11</f>
        <v>0</v>
      </c>
      <c r="G55" s="58">
        <f t="shared" si="11"/>
        <v>0</v>
      </c>
      <c r="H55" s="58">
        <f t="shared" si="11"/>
        <v>0</v>
      </c>
      <c r="I55" s="58">
        <f t="shared" si="11"/>
        <v>0</v>
      </c>
      <c r="J55" s="58">
        <f t="shared" si="11"/>
        <v>0</v>
      </c>
      <c r="K55" s="58">
        <f t="shared" si="11"/>
        <v>0</v>
      </c>
      <c r="L55" s="58">
        <f t="shared" si="11"/>
        <v>0</v>
      </c>
      <c r="M55" s="58">
        <f t="shared" si="11"/>
        <v>0</v>
      </c>
      <c r="N55" s="58">
        <f t="shared" si="11"/>
        <v>0</v>
      </c>
      <c r="O55" s="58">
        <f t="shared" si="11"/>
        <v>0</v>
      </c>
      <c r="P55" s="58">
        <f t="shared" si="11"/>
        <v>0</v>
      </c>
      <c r="Q55" s="58">
        <f t="shared" si="11"/>
        <v>0</v>
      </c>
      <c r="R55" s="58">
        <f t="shared" si="11"/>
        <v>0</v>
      </c>
      <c r="S55" s="58">
        <f t="shared" si="11"/>
        <v>0</v>
      </c>
      <c r="T55" s="58">
        <f t="shared" si="11"/>
        <v>0</v>
      </c>
      <c r="U55" s="58">
        <f t="shared" si="11"/>
        <v>0</v>
      </c>
      <c r="V55" s="58">
        <f t="shared" si="11"/>
        <v>0</v>
      </c>
      <c r="W55" s="58">
        <f t="shared" si="11"/>
        <v>0</v>
      </c>
      <c r="X55" s="58">
        <f t="shared" si="11"/>
        <v>0</v>
      </c>
      <c r="Y55" s="58">
        <f t="shared" si="11"/>
        <v>0</v>
      </c>
      <c r="Z55" s="58">
        <f t="shared" si="11"/>
        <v>0</v>
      </c>
      <c r="AA55" s="58">
        <f t="shared" si="11"/>
        <v>0</v>
      </c>
      <c r="AB55" s="58">
        <f t="shared" si="11"/>
        <v>0</v>
      </c>
      <c r="AC55" s="58">
        <f t="shared" si="11"/>
        <v>0</v>
      </c>
      <c r="AD55" s="58">
        <f t="shared" si="11"/>
        <v>0</v>
      </c>
      <c r="AE55" s="58">
        <f t="shared" si="11"/>
        <v>0</v>
      </c>
      <c r="AF55" s="58">
        <f t="shared" si="11"/>
        <v>0</v>
      </c>
      <c r="AG55" s="58">
        <f t="shared" si="11"/>
        <v>0</v>
      </c>
      <c r="AH55" s="58">
        <f t="shared" si="11"/>
        <v>0</v>
      </c>
      <c r="AI55" s="58">
        <f t="shared" si="11"/>
        <v>0</v>
      </c>
      <c r="AJ55" s="58">
        <f t="shared" si="11"/>
        <v>0</v>
      </c>
      <c r="AK55" s="58">
        <f t="shared" si="11"/>
        <v>0</v>
      </c>
      <c r="AL55" s="58">
        <f t="shared" ref="AL55:BO55" si="12">AL53*$E$11</f>
        <v>0</v>
      </c>
      <c r="AM55" s="58">
        <f t="shared" si="12"/>
        <v>0</v>
      </c>
      <c r="AN55" s="58">
        <f t="shared" si="12"/>
        <v>0</v>
      </c>
      <c r="AO55" s="58">
        <f t="shared" si="12"/>
        <v>0</v>
      </c>
      <c r="AP55" s="58">
        <f t="shared" si="12"/>
        <v>0</v>
      </c>
      <c r="AQ55" s="58">
        <f t="shared" si="12"/>
        <v>0</v>
      </c>
      <c r="AR55" s="58">
        <f t="shared" si="12"/>
        <v>0</v>
      </c>
      <c r="AS55" s="58">
        <f t="shared" si="12"/>
        <v>0</v>
      </c>
      <c r="AT55" s="58">
        <f t="shared" si="12"/>
        <v>0</v>
      </c>
      <c r="AU55" s="58">
        <f t="shared" si="12"/>
        <v>0</v>
      </c>
      <c r="AV55" s="58">
        <f t="shared" si="12"/>
        <v>0</v>
      </c>
      <c r="AW55" s="58">
        <f t="shared" si="12"/>
        <v>0</v>
      </c>
      <c r="AX55" s="58">
        <f t="shared" si="12"/>
        <v>0</v>
      </c>
      <c r="AY55" s="58">
        <f t="shared" si="12"/>
        <v>0</v>
      </c>
      <c r="AZ55" s="58">
        <f t="shared" si="12"/>
        <v>0</v>
      </c>
      <c r="BA55" s="58">
        <f t="shared" si="12"/>
        <v>0</v>
      </c>
      <c r="BB55" s="58">
        <f t="shared" si="12"/>
        <v>0</v>
      </c>
      <c r="BC55" s="58">
        <f t="shared" si="12"/>
        <v>0</v>
      </c>
      <c r="BD55" s="58">
        <f t="shared" si="12"/>
        <v>0</v>
      </c>
      <c r="BE55" s="58">
        <f t="shared" si="12"/>
        <v>0</v>
      </c>
      <c r="BF55" s="58">
        <f t="shared" si="12"/>
        <v>0</v>
      </c>
      <c r="BG55" s="58">
        <f t="shared" si="12"/>
        <v>0</v>
      </c>
      <c r="BH55" s="58">
        <f t="shared" si="12"/>
        <v>0</v>
      </c>
      <c r="BI55" s="58">
        <f t="shared" si="12"/>
        <v>0</v>
      </c>
      <c r="BJ55" s="58">
        <f t="shared" si="12"/>
        <v>0</v>
      </c>
      <c r="BK55" s="58">
        <f t="shared" si="12"/>
        <v>0</v>
      </c>
      <c r="BL55" s="58">
        <f t="shared" si="12"/>
        <v>0</v>
      </c>
      <c r="BM55" s="58">
        <f t="shared" si="12"/>
        <v>0</v>
      </c>
      <c r="BN55" s="58">
        <f t="shared" si="12"/>
        <v>0</v>
      </c>
      <c r="BO55" s="58">
        <f t="shared" si="12"/>
        <v>0</v>
      </c>
    </row>
    <row r="56" spans="1:67" ht="12.75" customHeight="1" x14ac:dyDescent="0.2">
      <c r="C56" s="27" t="s">
        <v>28</v>
      </c>
      <c r="D56" s="27" t="s">
        <v>491</v>
      </c>
      <c r="F56" s="58">
        <f>0</f>
        <v>0</v>
      </c>
      <c r="G56" s="58">
        <f>F59</f>
        <v>9.1229090909090926E-2</v>
      </c>
      <c r="H56" s="58">
        <f>G59</f>
        <v>0.12511418181818185</v>
      </c>
      <c r="I56" s="58">
        <f>H59</f>
        <v>0.17006324363636366</v>
      </c>
      <c r="J56" s="58">
        <f t="shared" ref="J56:BO56" si="13">I59</f>
        <v>0.21697245614545457</v>
      </c>
      <c r="K56" s="58">
        <f t="shared" si="13"/>
        <v>0.71761829181381809</v>
      </c>
      <c r="L56" s="58">
        <f t="shared" si="13"/>
        <v>1.2406847038591853</v>
      </c>
      <c r="M56" s="58">
        <f t="shared" si="13"/>
        <v>1.9327800868823006</v>
      </c>
      <c r="N56" s="58">
        <f t="shared" si="13"/>
        <v>2.739829823750437</v>
      </c>
      <c r="O56" s="58">
        <f t="shared" si="13"/>
        <v>3.5822304087341985</v>
      </c>
      <c r="P56" s="58">
        <f t="shared" si="13"/>
        <v>4.2821321097586562</v>
      </c>
      <c r="Q56" s="58">
        <f t="shared" si="13"/>
        <v>5.0117382721248482</v>
      </c>
      <c r="R56" s="58">
        <f t="shared" si="13"/>
        <v>5.7720356457426396</v>
      </c>
      <c r="S56" s="58">
        <f t="shared" si="13"/>
        <v>6.0029170715723454</v>
      </c>
      <c r="T56" s="58">
        <f t="shared" si="13"/>
        <v>6.2430337544352392</v>
      </c>
      <c r="U56" s="58">
        <f t="shared" si="13"/>
        <v>6.492755104612649</v>
      </c>
      <c r="V56" s="58">
        <f t="shared" si="13"/>
        <v>6.7524653087971549</v>
      </c>
      <c r="W56" s="58">
        <f t="shared" si="13"/>
        <v>7.0225639211490414</v>
      </c>
      <c r="X56" s="58">
        <f t="shared" si="13"/>
        <v>7.3034664779950029</v>
      </c>
      <c r="Y56" s="58">
        <f t="shared" si="13"/>
        <v>7.595605137114803</v>
      </c>
      <c r="Z56" s="58">
        <f t="shared" si="13"/>
        <v>7.8994293425993956</v>
      </c>
      <c r="AA56" s="58">
        <f t="shared" si="13"/>
        <v>8.2154065163033714</v>
      </c>
      <c r="AB56" s="58">
        <f t="shared" si="13"/>
        <v>8.5440227769555062</v>
      </c>
      <c r="AC56" s="58">
        <f t="shared" si="13"/>
        <v>8.885783688033726</v>
      </c>
      <c r="AD56" s="58">
        <f t="shared" si="13"/>
        <v>9.2412150355550757</v>
      </c>
      <c r="AE56" s="58">
        <f t="shared" si="13"/>
        <v>9.6108636369772782</v>
      </c>
      <c r="AF56" s="58">
        <f t="shared" si="13"/>
        <v>9.99529818245637</v>
      </c>
      <c r="AG56" s="58">
        <f t="shared" si="13"/>
        <v>10.395110109754626</v>
      </c>
      <c r="AH56" s="58">
        <f t="shared" si="13"/>
        <v>10.810914514144811</v>
      </c>
      <c r="AI56" s="58">
        <f t="shared" si="13"/>
        <v>11.243351094710603</v>
      </c>
      <c r="AJ56" s="58">
        <f t="shared" si="13"/>
        <v>11.693085138499027</v>
      </c>
      <c r="AK56" s="58">
        <f t="shared" si="13"/>
        <v>12.160808544038989</v>
      </c>
      <c r="AL56" s="58">
        <f t="shared" si="13"/>
        <v>12.647240885800549</v>
      </c>
      <c r="AM56" s="58">
        <f t="shared" si="13"/>
        <v>13.153130521232571</v>
      </c>
      <c r="AN56" s="58">
        <f t="shared" si="13"/>
        <v>13.679255742081875</v>
      </c>
      <c r="AO56" s="58">
        <f t="shared" si="13"/>
        <v>14.226425971765149</v>
      </c>
      <c r="AP56" s="58">
        <f t="shared" si="13"/>
        <v>14.795483010635754</v>
      </c>
      <c r="AQ56" s="58">
        <f t="shared" si="13"/>
        <v>15.387302331061184</v>
      </c>
      <c r="AR56" s="58">
        <f t="shared" si="13"/>
        <v>16.00279442430363</v>
      </c>
      <c r="AS56" s="58">
        <f t="shared" si="13"/>
        <v>16.642906201275775</v>
      </c>
      <c r="AT56" s="58">
        <f t="shared" si="13"/>
        <v>17.308622449326805</v>
      </c>
      <c r="AU56" s="58">
        <f t="shared" si="13"/>
        <v>18.000967347299877</v>
      </c>
      <c r="AV56" s="58">
        <f t="shared" si="13"/>
        <v>18.72100604119187</v>
      </c>
      <c r="AW56" s="58">
        <f t="shared" si="13"/>
        <v>19.469846282839544</v>
      </c>
      <c r="AX56" s="58">
        <f t="shared" si="13"/>
        <v>20.248640134153128</v>
      </c>
      <c r="AY56" s="58">
        <f t="shared" si="13"/>
        <v>21.058585739519252</v>
      </c>
      <c r="AZ56" s="58">
        <f t="shared" si="13"/>
        <v>21.900929169100021</v>
      </c>
      <c r="BA56" s="58">
        <f t="shared" si="13"/>
        <v>22.776966335864021</v>
      </c>
      <c r="BB56" s="58">
        <f t="shared" si="13"/>
        <v>23.688044989298582</v>
      </c>
      <c r="BC56" s="58">
        <f t="shared" si="13"/>
        <v>24.635566788870527</v>
      </c>
      <c r="BD56" s="58">
        <f t="shared" si="13"/>
        <v>25.620989460425349</v>
      </c>
      <c r="BE56" s="58">
        <f t="shared" si="13"/>
        <v>26.645829038842365</v>
      </c>
      <c r="BF56" s="58">
        <f t="shared" si="13"/>
        <v>27.711662200396059</v>
      </c>
      <c r="BG56" s="58">
        <f t="shared" si="13"/>
        <v>28.820128688411902</v>
      </c>
      <c r="BH56" s="58">
        <f t="shared" si="13"/>
        <v>29.972933835948378</v>
      </c>
      <c r="BI56" s="58">
        <f t="shared" si="13"/>
        <v>31.171851189386313</v>
      </c>
      <c r="BJ56" s="58">
        <f t="shared" si="13"/>
        <v>32.418725236961762</v>
      </c>
      <c r="BK56" s="58">
        <f t="shared" si="13"/>
        <v>33.71547424644023</v>
      </c>
      <c r="BL56" s="58">
        <f t="shared" si="13"/>
        <v>35.064093216297842</v>
      </c>
      <c r="BM56" s="58">
        <f t="shared" si="13"/>
        <v>36.466656944949754</v>
      </c>
      <c r="BN56" s="58">
        <f t="shared" si="13"/>
        <v>37.925323222747743</v>
      </c>
      <c r="BO56" s="58">
        <f t="shared" si="13"/>
        <v>39.442336151657649</v>
      </c>
    </row>
    <row r="57" spans="1:67" ht="12.75" customHeight="1" x14ac:dyDescent="0.2">
      <c r="C57" s="27" t="s">
        <v>27</v>
      </c>
      <c r="D57" s="27" t="s">
        <v>491</v>
      </c>
      <c r="F57" s="58">
        <f>F56*$E$14</f>
        <v>0</v>
      </c>
      <c r="G57" s="122">
        <f t="shared" ref="G57:Q57" si="14">G56*$E$14</f>
        <v>1.8245818181818186E-3</v>
      </c>
      <c r="H57" s="58">
        <f t="shared" si="14"/>
        <v>2.5022836363636368E-3</v>
      </c>
      <c r="I57" s="58">
        <f t="shared" si="14"/>
        <v>3.4012648727272735E-3</v>
      </c>
      <c r="J57" s="58">
        <f t="shared" si="14"/>
        <v>4.3394491229090913E-3</v>
      </c>
      <c r="K57" s="58">
        <f t="shared" si="14"/>
        <v>1.4352365836276361E-2</v>
      </c>
      <c r="L57" s="58">
        <f t="shared" si="14"/>
        <v>2.4813694077183705E-2</v>
      </c>
      <c r="M57" s="58">
        <f t="shared" si="14"/>
        <v>3.8655601737646011E-2</v>
      </c>
      <c r="N57" s="58">
        <f t="shared" si="14"/>
        <v>5.4796596475008744E-2</v>
      </c>
      <c r="O57" s="58">
        <f t="shared" si="14"/>
        <v>7.1644608174683974E-2</v>
      </c>
      <c r="P57" s="58">
        <f t="shared" si="14"/>
        <v>8.5642642195173133E-2</v>
      </c>
      <c r="Q57" s="58">
        <f t="shared" si="14"/>
        <v>0.10023476544249697</v>
      </c>
      <c r="R57" s="58">
        <f t="shared" ref="R57:AW57" si="15">R56*$E$12</f>
        <v>0.23088142582970558</v>
      </c>
      <c r="S57" s="58">
        <f t="shared" si="15"/>
        <v>0.24011668286289381</v>
      </c>
      <c r="T57" s="58">
        <f t="shared" si="15"/>
        <v>0.24972135017740957</v>
      </c>
      <c r="U57" s="58">
        <f t="shared" si="15"/>
        <v>0.25971020418450597</v>
      </c>
      <c r="V57" s="58">
        <f t="shared" si="15"/>
        <v>0.2700986123518862</v>
      </c>
      <c r="W57" s="58">
        <f t="shared" si="15"/>
        <v>0.28090255684596166</v>
      </c>
      <c r="X57" s="58">
        <f t="shared" si="15"/>
        <v>0.29213865911980014</v>
      </c>
      <c r="Y57" s="58">
        <f t="shared" si="15"/>
        <v>0.3038242054845921</v>
      </c>
      <c r="Z57" s="58">
        <f t="shared" si="15"/>
        <v>0.31597717370397582</v>
      </c>
      <c r="AA57" s="58">
        <f t="shared" si="15"/>
        <v>0.32861626065213484</v>
      </c>
      <c r="AB57" s="58">
        <f t="shared" si="15"/>
        <v>0.34176091107822026</v>
      </c>
      <c r="AC57" s="58">
        <f t="shared" si="15"/>
        <v>0.35543134752134903</v>
      </c>
      <c r="AD57" s="58">
        <f t="shared" si="15"/>
        <v>0.36964860142220302</v>
      </c>
      <c r="AE57" s="58">
        <f t="shared" si="15"/>
        <v>0.38443454547909112</v>
      </c>
      <c r="AF57" s="58">
        <f t="shared" si="15"/>
        <v>0.39981192729825482</v>
      </c>
      <c r="AG57" s="58">
        <f t="shared" si="15"/>
        <v>0.41580440439018501</v>
      </c>
      <c r="AH57" s="58">
        <f t="shared" si="15"/>
        <v>0.43243658056579243</v>
      </c>
      <c r="AI57" s="58">
        <f t="shared" si="15"/>
        <v>0.44973404378842413</v>
      </c>
      <c r="AJ57" s="58">
        <f t="shared" si="15"/>
        <v>0.46772340553996111</v>
      </c>
      <c r="AK57" s="58">
        <f t="shared" si="15"/>
        <v>0.48643234176155958</v>
      </c>
      <c r="AL57" s="58">
        <f t="shared" si="15"/>
        <v>0.50588963543202203</v>
      </c>
      <c r="AM57" s="58">
        <f t="shared" si="15"/>
        <v>0.5261252208493028</v>
      </c>
      <c r="AN57" s="58">
        <f t="shared" si="15"/>
        <v>0.547170229683275</v>
      </c>
      <c r="AO57" s="58">
        <f t="shared" si="15"/>
        <v>0.56905703887060599</v>
      </c>
      <c r="AP57" s="58">
        <f t="shared" si="15"/>
        <v>0.59181932042543017</v>
      </c>
      <c r="AQ57" s="58">
        <f t="shared" si="15"/>
        <v>0.61549209324244736</v>
      </c>
      <c r="AR57" s="58">
        <f t="shared" si="15"/>
        <v>0.64011177697214527</v>
      </c>
      <c r="AS57" s="58">
        <f t="shared" si="15"/>
        <v>0.66571624805103102</v>
      </c>
      <c r="AT57" s="58">
        <f t="shared" si="15"/>
        <v>0.69234489797307219</v>
      </c>
      <c r="AU57" s="58">
        <f t="shared" si="15"/>
        <v>0.72003869389199504</v>
      </c>
      <c r="AV57" s="58">
        <f t="shared" si="15"/>
        <v>0.74884024164767482</v>
      </c>
      <c r="AW57" s="58">
        <f t="shared" si="15"/>
        <v>0.77879385131358181</v>
      </c>
      <c r="AX57" s="58">
        <f t="shared" ref="AX57:BO57" si="16">AX56*$E$12</f>
        <v>0.80994560536612514</v>
      </c>
      <c r="AY57" s="58">
        <f t="shared" si="16"/>
        <v>0.84234342958077013</v>
      </c>
      <c r="AZ57" s="58">
        <f t="shared" si="16"/>
        <v>0.8760371667640009</v>
      </c>
      <c r="BA57" s="58">
        <f t="shared" si="16"/>
        <v>0.91107865343456085</v>
      </c>
      <c r="BB57" s="58">
        <f t="shared" si="16"/>
        <v>0.94752179957194327</v>
      </c>
      <c r="BC57" s="58">
        <f t="shared" si="16"/>
        <v>0.98542267155482111</v>
      </c>
      <c r="BD57" s="58">
        <f t="shared" si="16"/>
        <v>1.0248395784170139</v>
      </c>
      <c r="BE57" s="58">
        <f t="shared" si="16"/>
        <v>1.0658331615536947</v>
      </c>
      <c r="BF57" s="58">
        <f t="shared" si="16"/>
        <v>1.1084664880158424</v>
      </c>
      <c r="BG57" s="58">
        <f t="shared" si="16"/>
        <v>1.152805147536476</v>
      </c>
      <c r="BH57" s="58">
        <f t="shared" si="16"/>
        <v>1.1989173534379352</v>
      </c>
      <c r="BI57" s="58">
        <f t="shared" si="16"/>
        <v>1.2468740475754525</v>
      </c>
      <c r="BJ57" s="58">
        <f t="shared" si="16"/>
        <v>1.2967490094784706</v>
      </c>
      <c r="BK57" s="58">
        <f t="shared" si="16"/>
        <v>1.3486189698576092</v>
      </c>
      <c r="BL57" s="58">
        <f t="shared" si="16"/>
        <v>1.4025637286519137</v>
      </c>
      <c r="BM57" s="58">
        <f t="shared" si="16"/>
        <v>1.4586662777979902</v>
      </c>
      <c r="BN57" s="58">
        <f t="shared" si="16"/>
        <v>1.5170129289099097</v>
      </c>
      <c r="BO57" s="58">
        <f t="shared" si="16"/>
        <v>1.5776934460663059</v>
      </c>
    </row>
    <row r="58" spans="1:67" ht="12.75" customHeight="1" x14ac:dyDescent="0.2">
      <c r="C58" s="27" t="s">
        <v>30</v>
      </c>
      <c r="D58" s="27" t="s">
        <v>491</v>
      </c>
      <c r="F58" s="58">
        <f>F54</f>
        <v>9.1229090909090926E-2</v>
      </c>
      <c r="G58" s="58">
        <f>G54</f>
        <v>3.2060509090909087E-2</v>
      </c>
      <c r="H58" s="58">
        <f>H54</f>
        <v>4.2446778181818176E-2</v>
      </c>
      <c r="I58" s="58">
        <f>I54</f>
        <v>4.3507947636363634E-2</v>
      </c>
      <c r="J58" s="58">
        <f t="shared" ref="J58:BO58" si="17">J54</f>
        <v>0.49630638654545445</v>
      </c>
      <c r="K58" s="58">
        <f t="shared" si="17"/>
        <v>0.50871404620909078</v>
      </c>
      <c r="L58" s="58">
        <f t="shared" si="17"/>
        <v>0.66728168894593154</v>
      </c>
      <c r="M58" s="58">
        <f t="shared" si="17"/>
        <v>0.76839413513049049</v>
      </c>
      <c r="N58" s="58">
        <f t="shared" si="17"/>
        <v>0.78760398850875268</v>
      </c>
      <c r="O58" s="58">
        <f t="shared" si="17"/>
        <v>0.62825709284977416</v>
      </c>
      <c r="P58" s="58">
        <f t="shared" si="17"/>
        <v>0.64396352017101843</v>
      </c>
      <c r="Q58" s="58">
        <f t="shared" si="17"/>
        <v>0.66006260817529394</v>
      </c>
      <c r="R58" s="58">
        <f t="shared" si="17"/>
        <v>0</v>
      </c>
      <c r="S58" s="58">
        <f t="shared" si="17"/>
        <v>0</v>
      </c>
      <c r="T58" s="58">
        <f t="shared" si="17"/>
        <v>0</v>
      </c>
      <c r="U58" s="58">
        <f t="shared" si="17"/>
        <v>0</v>
      </c>
      <c r="V58" s="58">
        <f t="shared" si="17"/>
        <v>0</v>
      </c>
      <c r="W58" s="58">
        <f t="shared" si="17"/>
        <v>0</v>
      </c>
      <c r="X58" s="58">
        <f t="shared" si="17"/>
        <v>0</v>
      </c>
      <c r="Y58" s="58">
        <f t="shared" si="17"/>
        <v>0</v>
      </c>
      <c r="Z58" s="58">
        <f t="shared" si="17"/>
        <v>0</v>
      </c>
      <c r="AA58" s="58">
        <f t="shared" si="17"/>
        <v>0</v>
      </c>
      <c r="AB58" s="58">
        <f t="shared" si="17"/>
        <v>0</v>
      </c>
      <c r="AC58" s="58">
        <f t="shared" si="17"/>
        <v>0</v>
      </c>
      <c r="AD58" s="58">
        <f t="shared" si="17"/>
        <v>0</v>
      </c>
      <c r="AE58" s="58">
        <f t="shared" si="17"/>
        <v>0</v>
      </c>
      <c r="AF58" s="58">
        <f t="shared" si="17"/>
        <v>0</v>
      </c>
      <c r="AG58" s="58">
        <f t="shared" si="17"/>
        <v>0</v>
      </c>
      <c r="AH58" s="58">
        <f t="shared" si="17"/>
        <v>0</v>
      </c>
      <c r="AI58" s="58">
        <f t="shared" si="17"/>
        <v>0</v>
      </c>
      <c r="AJ58" s="58">
        <f t="shared" si="17"/>
        <v>0</v>
      </c>
      <c r="AK58" s="58">
        <f t="shared" si="17"/>
        <v>0</v>
      </c>
      <c r="AL58" s="58">
        <f t="shared" si="17"/>
        <v>0</v>
      </c>
      <c r="AM58" s="58">
        <f t="shared" si="17"/>
        <v>0</v>
      </c>
      <c r="AN58" s="58">
        <f t="shared" si="17"/>
        <v>0</v>
      </c>
      <c r="AO58" s="58">
        <f t="shared" si="17"/>
        <v>0</v>
      </c>
      <c r="AP58" s="58">
        <f t="shared" si="17"/>
        <v>0</v>
      </c>
      <c r="AQ58" s="58">
        <f t="shared" si="17"/>
        <v>0</v>
      </c>
      <c r="AR58" s="58">
        <f t="shared" si="17"/>
        <v>0</v>
      </c>
      <c r="AS58" s="58">
        <f t="shared" si="17"/>
        <v>0</v>
      </c>
      <c r="AT58" s="58">
        <f t="shared" si="17"/>
        <v>0</v>
      </c>
      <c r="AU58" s="58">
        <f t="shared" si="17"/>
        <v>0</v>
      </c>
      <c r="AV58" s="58">
        <f t="shared" si="17"/>
        <v>0</v>
      </c>
      <c r="AW58" s="58">
        <f t="shared" si="17"/>
        <v>0</v>
      </c>
      <c r="AX58" s="58">
        <f t="shared" si="17"/>
        <v>0</v>
      </c>
      <c r="AY58" s="58">
        <f t="shared" si="17"/>
        <v>0</v>
      </c>
      <c r="AZ58" s="58">
        <f t="shared" si="17"/>
        <v>0</v>
      </c>
      <c r="BA58" s="58">
        <f t="shared" si="17"/>
        <v>0</v>
      </c>
      <c r="BB58" s="58">
        <f t="shared" si="17"/>
        <v>0</v>
      </c>
      <c r="BC58" s="58">
        <f t="shared" si="17"/>
        <v>0</v>
      </c>
      <c r="BD58" s="58">
        <f t="shared" si="17"/>
        <v>0</v>
      </c>
      <c r="BE58" s="58">
        <f t="shared" si="17"/>
        <v>0</v>
      </c>
      <c r="BF58" s="58">
        <f t="shared" si="17"/>
        <v>0</v>
      </c>
      <c r="BG58" s="58">
        <f t="shared" si="17"/>
        <v>0</v>
      </c>
      <c r="BH58" s="58">
        <f t="shared" si="17"/>
        <v>0</v>
      </c>
      <c r="BI58" s="58">
        <f t="shared" si="17"/>
        <v>0</v>
      </c>
      <c r="BJ58" s="58">
        <f t="shared" si="17"/>
        <v>0</v>
      </c>
      <c r="BK58" s="58">
        <f t="shared" si="17"/>
        <v>0</v>
      </c>
      <c r="BL58" s="58">
        <f t="shared" si="17"/>
        <v>0</v>
      </c>
      <c r="BM58" s="58">
        <f t="shared" si="17"/>
        <v>0</v>
      </c>
      <c r="BN58" s="58">
        <f t="shared" si="17"/>
        <v>0</v>
      </c>
      <c r="BO58" s="58">
        <f t="shared" si="17"/>
        <v>0</v>
      </c>
    </row>
    <row r="59" spans="1:67" ht="12.75" customHeight="1" x14ac:dyDescent="0.2">
      <c r="C59" s="27" t="s">
        <v>29</v>
      </c>
      <c r="D59" s="27" t="s">
        <v>491</v>
      </c>
      <c r="F59" s="58">
        <f>SUM(F56:F58)</f>
        <v>9.1229090909090926E-2</v>
      </c>
      <c r="G59" s="58">
        <f t="shared" ref="G59:BO59" si="18">SUM(G56:G58)</f>
        <v>0.12511418181818185</v>
      </c>
      <c r="H59" s="58">
        <f t="shared" si="18"/>
        <v>0.17006324363636366</v>
      </c>
      <c r="I59" s="58">
        <f t="shared" si="18"/>
        <v>0.21697245614545457</v>
      </c>
      <c r="J59" s="58">
        <f t="shared" si="18"/>
        <v>0.71761829181381809</v>
      </c>
      <c r="K59" s="58">
        <f t="shared" si="18"/>
        <v>1.2406847038591853</v>
      </c>
      <c r="L59" s="58">
        <f t="shared" si="18"/>
        <v>1.9327800868823006</v>
      </c>
      <c r="M59" s="58">
        <f t="shared" si="18"/>
        <v>2.739829823750437</v>
      </c>
      <c r="N59" s="58">
        <f t="shared" si="18"/>
        <v>3.5822304087341985</v>
      </c>
      <c r="O59" s="58">
        <f t="shared" si="18"/>
        <v>4.2821321097586562</v>
      </c>
      <c r="P59" s="58">
        <f t="shared" si="18"/>
        <v>5.0117382721248482</v>
      </c>
      <c r="Q59" s="58">
        <f t="shared" si="18"/>
        <v>5.7720356457426396</v>
      </c>
      <c r="R59" s="58">
        <f t="shared" si="18"/>
        <v>6.0029170715723454</v>
      </c>
      <c r="S59" s="58">
        <f t="shared" si="18"/>
        <v>6.2430337544352392</v>
      </c>
      <c r="T59" s="58">
        <f t="shared" si="18"/>
        <v>6.492755104612649</v>
      </c>
      <c r="U59" s="58">
        <f t="shared" si="18"/>
        <v>6.7524653087971549</v>
      </c>
      <c r="V59" s="58">
        <f t="shared" si="18"/>
        <v>7.0225639211490414</v>
      </c>
      <c r="W59" s="58">
        <f t="shared" si="18"/>
        <v>7.3034664779950029</v>
      </c>
      <c r="X59" s="58">
        <f t="shared" si="18"/>
        <v>7.595605137114803</v>
      </c>
      <c r="Y59" s="58">
        <f t="shared" si="18"/>
        <v>7.8994293425993956</v>
      </c>
      <c r="Z59" s="58">
        <f t="shared" si="18"/>
        <v>8.2154065163033714</v>
      </c>
      <c r="AA59" s="58">
        <f t="shared" si="18"/>
        <v>8.5440227769555062</v>
      </c>
      <c r="AB59" s="58">
        <f t="shared" si="18"/>
        <v>8.885783688033726</v>
      </c>
      <c r="AC59" s="58">
        <f t="shared" si="18"/>
        <v>9.2412150355550757</v>
      </c>
      <c r="AD59" s="58">
        <f t="shared" si="18"/>
        <v>9.6108636369772782</v>
      </c>
      <c r="AE59" s="58">
        <f t="shared" si="18"/>
        <v>9.99529818245637</v>
      </c>
      <c r="AF59" s="58">
        <f t="shared" si="18"/>
        <v>10.395110109754626</v>
      </c>
      <c r="AG59" s="58">
        <f t="shared" si="18"/>
        <v>10.810914514144811</v>
      </c>
      <c r="AH59" s="58">
        <f t="shared" si="18"/>
        <v>11.243351094710603</v>
      </c>
      <c r="AI59" s="58">
        <f t="shared" si="18"/>
        <v>11.693085138499027</v>
      </c>
      <c r="AJ59" s="58">
        <f t="shared" si="18"/>
        <v>12.160808544038989</v>
      </c>
      <c r="AK59" s="58">
        <f t="shared" si="18"/>
        <v>12.647240885800549</v>
      </c>
      <c r="AL59" s="58">
        <f t="shared" si="18"/>
        <v>13.153130521232571</v>
      </c>
      <c r="AM59" s="58">
        <f t="shared" si="18"/>
        <v>13.679255742081875</v>
      </c>
      <c r="AN59" s="58">
        <f t="shared" si="18"/>
        <v>14.226425971765149</v>
      </c>
      <c r="AO59" s="58">
        <f t="shared" si="18"/>
        <v>14.795483010635754</v>
      </c>
      <c r="AP59" s="58">
        <f t="shared" si="18"/>
        <v>15.387302331061184</v>
      </c>
      <c r="AQ59" s="58">
        <f t="shared" si="18"/>
        <v>16.00279442430363</v>
      </c>
      <c r="AR59" s="58">
        <f t="shared" si="18"/>
        <v>16.642906201275775</v>
      </c>
      <c r="AS59" s="58">
        <f t="shared" si="18"/>
        <v>17.308622449326805</v>
      </c>
      <c r="AT59" s="58">
        <f t="shared" si="18"/>
        <v>18.000967347299877</v>
      </c>
      <c r="AU59" s="58">
        <f t="shared" si="18"/>
        <v>18.72100604119187</v>
      </c>
      <c r="AV59" s="58">
        <f t="shared" si="18"/>
        <v>19.469846282839544</v>
      </c>
      <c r="AW59" s="58">
        <f t="shared" si="18"/>
        <v>20.248640134153128</v>
      </c>
      <c r="AX59" s="58">
        <f t="shared" si="18"/>
        <v>21.058585739519252</v>
      </c>
      <c r="AY59" s="58">
        <f t="shared" si="18"/>
        <v>21.900929169100021</v>
      </c>
      <c r="AZ59" s="58">
        <f t="shared" si="18"/>
        <v>22.776966335864021</v>
      </c>
      <c r="BA59" s="58">
        <f t="shared" si="18"/>
        <v>23.688044989298582</v>
      </c>
      <c r="BB59" s="58">
        <f t="shared" si="18"/>
        <v>24.635566788870527</v>
      </c>
      <c r="BC59" s="58">
        <f t="shared" si="18"/>
        <v>25.620989460425349</v>
      </c>
      <c r="BD59" s="58">
        <f t="shared" si="18"/>
        <v>26.645829038842365</v>
      </c>
      <c r="BE59" s="58">
        <f t="shared" si="18"/>
        <v>27.711662200396059</v>
      </c>
      <c r="BF59" s="58">
        <f t="shared" si="18"/>
        <v>28.820128688411902</v>
      </c>
      <c r="BG59" s="58">
        <f t="shared" si="18"/>
        <v>29.972933835948378</v>
      </c>
      <c r="BH59" s="58">
        <f t="shared" si="18"/>
        <v>31.171851189386313</v>
      </c>
      <c r="BI59" s="58">
        <f t="shared" si="18"/>
        <v>32.418725236961762</v>
      </c>
      <c r="BJ59" s="58">
        <f t="shared" si="18"/>
        <v>33.71547424644023</v>
      </c>
      <c r="BK59" s="58">
        <f t="shared" si="18"/>
        <v>35.064093216297842</v>
      </c>
      <c r="BL59" s="58">
        <f t="shared" si="18"/>
        <v>36.466656944949754</v>
      </c>
      <c r="BM59" s="58">
        <f t="shared" si="18"/>
        <v>37.925323222747743</v>
      </c>
      <c r="BN59" s="58">
        <f t="shared" si="18"/>
        <v>39.442336151657649</v>
      </c>
      <c r="BO59" s="58">
        <f t="shared" si="18"/>
        <v>41.020029597723955</v>
      </c>
    </row>
    <row r="60" spans="1:67" ht="12.75" customHeight="1" x14ac:dyDescent="0.25">
      <c r="C60" s="27" t="s">
        <v>489</v>
      </c>
      <c r="D60" s="27" t="s">
        <v>491</v>
      </c>
      <c r="F60" s="33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27">
        <f>Q59</f>
        <v>5.7720356457426396</v>
      </c>
      <c r="R60">
        <f>Q60*1000000/$R$85</f>
        <v>2.1699381351874125</v>
      </c>
      <c r="S60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</row>
    <row r="61" spans="1:67" ht="12.75" customHeight="1" x14ac:dyDescent="0.2">
      <c r="C61" s="27" t="s">
        <v>229</v>
      </c>
      <c r="D61" s="27" t="s">
        <v>491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26">
        <f>-PMT($E$12,$E$13,Q60)*E15</f>
        <v>0.33379739359632382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</row>
    <row r="62" spans="1:67" ht="12.75" customHeight="1" x14ac:dyDescent="0.2">
      <c r="C62" s="27"/>
      <c r="D62" s="125"/>
      <c r="E62" s="124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</row>
    <row r="64" spans="1:67" ht="12.75" customHeight="1" x14ac:dyDescent="0.2">
      <c r="A64" s="28" t="s">
        <v>483</v>
      </c>
      <c r="C64" s="27"/>
      <c r="D64" s="2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</row>
    <row r="65" spans="1:67" ht="12.75" customHeight="1" x14ac:dyDescent="0.2">
      <c r="A65" s="1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</row>
    <row r="66" spans="1:67" ht="12.75" customHeight="1" x14ac:dyDescent="0.2">
      <c r="A66" s="116" t="s">
        <v>216</v>
      </c>
      <c r="B66" s="25"/>
      <c r="C66" s="117" t="s">
        <v>215</v>
      </c>
      <c r="D66" s="117" t="s">
        <v>19</v>
      </c>
      <c r="E66" s="25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 t="s">
        <v>214</v>
      </c>
      <c r="S66" s="25">
        <f>S$44</f>
        <v>2025</v>
      </c>
      <c r="T66" s="25">
        <f t="shared" ref="T66:BO66" si="19">T$44</f>
        <v>2026</v>
      </c>
      <c r="U66" s="25">
        <f t="shared" si="19"/>
        <v>2027</v>
      </c>
      <c r="V66" s="25">
        <f t="shared" si="19"/>
        <v>2028</v>
      </c>
      <c r="W66" s="25">
        <f t="shared" si="19"/>
        <v>2029</v>
      </c>
      <c r="X66" s="25">
        <f t="shared" si="19"/>
        <v>2030</v>
      </c>
      <c r="Y66" s="25">
        <f t="shared" si="19"/>
        <v>2031</v>
      </c>
      <c r="Z66" s="25">
        <f t="shared" si="19"/>
        <v>2032</v>
      </c>
      <c r="AA66" s="25">
        <f t="shared" si="19"/>
        <v>2033</v>
      </c>
      <c r="AB66" s="25">
        <f t="shared" si="19"/>
        <v>2034</v>
      </c>
      <c r="AC66" s="25">
        <f t="shared" si="19"/>
        <v>2035</v>
      </c>
      <c r="AD66" s="25">
        <f t="shared" si="19"/>
        <v>2036</v>
      </c>
      <c r="AE66" s="25">
        <f t="shared" si="19"/>
        <v>2037</v>
      </c>
      <c r="AF66" s="25">
        <f t="shared" si="19"/>
        <v>2038</v>
      </c>
      <c r="AG66" s="25">
        <f t="shared" si="19"/>
        <v>2039</v>
      </c>
      <c r="AH66" s="25">
        <f t="shared" si="19"/>
        <v>2040</v>
      </c>
      <c r="AI66" s="25">
        <f t="shared" si="19"/>
        <v>2041</v>
      </c>
      <c r="AJ66" s="25">
        <f t="shared" si="19"/>
        <v>2042</v>
      </c>
      <c r="AK66" s="25">
        <f t="shared" si="19"/>
        <v>2043</v>
      </c>
      <c r="AL66" s="25">
        <f t="shared" si="19"/>
        <v>2044</v>
      </c>
      <c r="AM66" s="25">
        <f t="shared" si="19"/>
        <v>2045</v>
      </c>
      <c r="AN66" s="25">
        <f t="shared" si="19"/>
        <v>2046</v>
      </c>
      <c r="AO66" s="25">
        <f t="shared" si="19"/>
        <v>2047</v>
      </c>
      <c r="AP66" s="25">
        <f t="shared" si="19"/>
        <v>2048</v>
      </c>
      <c r="AQ66" s="25">
        <f t="shared" si="19"/>
        <v>2049</v>
      </c>
      <c r="AR66" s="25">
        <f t="shared" si="19"/>
        <v>2050</v>
      </c>
      <c r="AS66" s="25">
        <f t="shared" si="19"/>
        <v>2051</v>
      </c>
      <c r="AT66" s="25">
        <f t="shared" si="19"/>
        <v>2052</v>
      </c>
      <c r="AU66" s="25">
        <f t="shared" si="19"/>
        <v>2053</v>
      </c>
      <c r="AV66" s="25">
        <f t="shared" si="19"/>
        <v>2054</v>
      </c>
      <c r="AW66" s="25">
        <f t="shared" si="19"/>
        <v>2055</v>
      </c>
      <c r="AX66" s="25">
        <f t="shared" si="19"/>
        <v>2056</v>
      </c>
      <c r="AY66" s="25">
        <f t="shared" si="19"/>
        <v>2057</v>
      </c>
      <c r="AZ66" s="25">
        <f t="shared" si="19"/>
        <v>2058</v>
      </c>
      <c r="BA66" s="25">
        <f t="shared" si="19"/>
        <v>2059</v>
      </c>
      <c r="BB66" s="25">
        <f t="shared" si="19"/>
        <v>2060</v>
      </c>
      <c r="BC66" s="25">
        <f t="shared" si="19"/>
        <v>2061</v>
      </c>
      <c r="BD66" s="25">
        <f t="shared" si="19"/>
        <v>2062</v>
      </c>
      <c r="BE66" s="25">
        <f t="shared" si="19"/>
        <v>2063</v>
      </c>
      <c r="BF66" s="25">
        <f t="shared" si="19"/>
        <v>2064</v>
      </c>
      <c r="BG66" s="25">
        <f t="shared" si="19"/>
        <v>2065</v>
      </c>
      <c r="BH66" s="25">
        <f t="shared" si="19"/>
        <v>2066</v>
      </c>
      <c r="BI66" s="25">
        <f t="shared" si="19"/>
        <v>2067</v>
      </c>
      <c r="BJ66" s="25">
        <f t="shared" si="19"/>
        <v>2068</v>
      </c>
      <c r="BK66" s="25">
        <f t="shared" si="19"/>
        <v>2069</v>
      </c>
      <c r="BL66" s="25">
        <f t="shared" si="19"/>
        <v>2070</v>
      </c>
      <c r="BM66" s="25">
        <f t="shared" si="19"/>
        <v>2071</v>
      </c>
      <c r="BN66" s="25">
        <f t="shared" si="19"/>
        <v>2072</v>
      </c>
      <c r="BO66" s="25">
        <f t="shared" si="19"/>
        <v>2073</v>
      </c>
    </row>
    <row r="67" spans="1:67" ht="12.75" customHeight="1" x14ac:dyDescent="0.2">
      <c r="A67" s="115">
        <v>1</v>
      </c>
      <c r="B67" s="16" t="s">
        <v>498</v>
      </c>
      <c r="D67" s="27"/>
      <c r="P67" s="23" t="s">
        <v>41</v>
      </c>
    </row>
    <row r="68" spans="1:67" ht="12.75" customHeight="1" x14ac:dyDescent="0.2">
      <c r="A68" s="115">
        <v>2</v>
      </c>
      <c r="C68" s="23" t="s">
        <v>315</v>
      </c>
      <c r="D68" s="23" t="s">
        <v>221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54">
        <f>$E$19</f>
        <v>1.7999999999999999E-2</v>
      </c>
      <c r="S68" s="54">
        <f t="shared" ref="S68:BO68" si="20">$E$19</f>
        <v>1.7999999999999999E-2</v>
      </c>
      <c r="T68" s="54">
        <f t="shared" si="20"/>
        <v>1.7999999999999999E-2</v>
      </c>
      <c r="U68" s="54">
        <f t="shared" si="20"/>
        <v>1.7999999999999999E-2</v>
      </c>
      <c r="V68" s="54">
        <f t="shared" si="20"/>
        <v>1.7999999999999999E-2</v>
      </c>
      <c r="W68" s="54">
        <f t="shared" si="20"/>
        <v>1.7999999999999999E-2</v>
      </c>
      <c r="X68" s="54">
        <f t="shared" si="20"/>
        <v>1.7999999999999999E-2</v>
      </c>
      <c r="Y68" s="54">
        <f t="shared" si="20"/>
        <v>1.7999999999999999E-2</v>
      </c>
      <c r="Z68" s="54">
        <f t="shared" si="20"/>
        <v>1.7999999999999999E-2</v>
      </c>
      <c r="AA68" s="54">
        <f t="shared" si="20"/>
        <v>1.7999999999999999E-2</v>
      </c>
      <c r="AB68" s="54">
        <f t="shared" si="20"/>
        <v>1.7999999999999999E-2</v>
      </c>
      <c r="AC68" s="54">
        <f t="shared" si="20"/>
        <v>1.7999999999999999E-2</v>
      </c>
      <c r="AD68" s="54">
        <f t="shared" si="20"/>
        <v>1.7999999999999999E-2</v>
      </c>
      <c r="AE68" s="54">
        <f t="shared" si="20"/>
        <v>1.7999999999999999E-2</v>
      </c>
      <c r="AF68" s="54">
        <f t="shared" si="20"/>
        <v>1.7999999999999999E-2</v>
      </c>
      <c r="AG68" s="54">
        <f t="shared" si="20"/>
        <v>1.7999999999999999E-2</v>
      </c>
      <c r="AH68" s="54">
        <f t="shared" si="20"/>
        <v>1.7999999999999999E-2</v>
      </c>
      <c r="AI68" s="54">
        <f t="shared" si="20"/>
        <v>1.7999999999999999E-2</v>
      </c>
      <c r="AJ68" s="54">
        <f t="shared" si="20"/>
        <v>1.7999999999999999E-2</v>
      </c>
      <c r="AK68" s="54">
        <f t="shared" si="20"/>
        <v>1.7999999999999999E-2</v>
      </c>
      <c r="AL68" s="54">
        <f t="shared" si="20"/>
        <v>1.7999999999999999E-2</v>
      </c>
      <c r="AM68" s="54">
        <f t="shared" si="20"/>
        <v>1.7999999999999999E-2</v>
      </c>
      <c r="AN68" s="54">
        <f t="shared" si="20"/>
        <v>1.7999999999999999E-2</v>
      </c>
      <c r="AO68" s="54">
        <f t="shared" si="20"/>
        <v>1.7999999999999999E-2</v>
      </c>
      <c r="AP68" s="54">
        <f t="shared" si="20"/>
        <v>1.7999999999999999E-2</v>
      </c>
      <c r="AQ68" s="54">
        <f t="shared" si="20"/>
        <v>1.7999999999999999E-2</v>
      </c>
      <c r="AR68" s="54">
        <f t="shared" si="20"/>
        <v>1.7999999999999999E-2</v>
      </c>
      <c r="AS68" s="54">
        <f t="shared" si="20"/>
        <v>1.7999999999999999E-2</v>
      </c>
      <c r="AT68" s="54">
        <f t="shared" si="20"/>
        <v>1.7999999999999999E-2</v>
      </c>
      <c r="AU68" s="54">
        <f t="shared" si="20"/>
        <v>1.7999999999999999E-2</v>
      </c>
      <c r="AV68" s="54">
        <f t="shared" si="20"/>
        <v>1.7999999999999999E-2</v>
      </c>
      <c r="AW68" s="54">
        <f t="shared" si="20"/>
        <v>1.7999999999999999E-2</v>
      </c>
      <c r="AX68" s="54">
        <f t="shared" si="20"/>
        <v>1.7999999999999999E-2</v>
      </c>
      <c r="AY68" s="54">
        <f t="shared" si="20"/>
        <v>1.7999999999999999E-2</v>
      </c>
      <c r="AZ68" s="54">
        <f t="shared" si="20"/>
        <v>1.7999999999999999E-2</v>
      </c>
      <c r="BA68" s="54">
        <f t="shared" si="20"/>
        <v>1.7999999999999999E-2</v>
      </c>
      <c r="BB68" s="54">
        <f t="shared" si="20"/>
        <v>1.7999999999999999E-2</v>
      </c>
      <c r="BC68" s="54">
        <f t="shared" si="20"/>
        <v>1.7999999999999999E-2</v>
      </c>
      <c r="BD68" s="54">
        <f t="shared" si="20"/>
        <v>1.7999999999999999E-2</v>
      </c>
      <c r="BE68" s="54">
        <f t="shared" si="20"/>
        <v>1.7999999999999999E-2</v>
      </c>
      <c r="BF68" s="54">
        <f t="shared" si="20"/>
        <v>1.7999999999999999E-2</v>
      </c>
      <c r="BG68" s="54">
        <f t="shared" si="20"/>
        <v>1.7999999999999999E-2</v>
      </c>
      <c r="BH68" s="54">
        <f t="shared" si="20"/>
        <v>1.7999999999999999E-2</v>
      </c>
      <c r="BI68" s="54">
        <f t="shared" si="20"/>
        <v>1.7999999999999999E-2</v>
      </c>
      <c r="BJ68" s="54">
        <f t="shared" si="20"/>
        <v>1.7999999999999999E-2</v>
      </c>
      <c r="BK68" s="54">
        <f t="shared" si="20"/>
        <v>1.7999999999999999E-2</v>
      </c>
      <c r="BL68" s="54">
        <f t="shared" si="20"/>
        <v>1.7999999999999999E-2</v>
      </c>
      <c r="BM68" s="54">
        <f t="shared" si="20"/>
        <v>1.7999999999999999E-2</v>
      </c>
      <c r="BN68" s="54">
        <f t="shared" si="20"/>
        <v>1.7999999999999999E-2</v>
      </c>
      <c r="BO68" s="54">
        <f t="shared" si="20"/>
        <v>1.7999999999999999E-2</v>
      </c>
    </row>
    <row r="69" spans="1:67" ht="12.75" customHeight="1" x14ac:dyDescent="0.2">
      <c r="A69" s="115">
        <v>3</v>
      </c>
      <c r="C69" s="17" t="s">
        <v>496</v>
      </c>
      <c r="D69" s="23" t="s">
        <v>221</v>
      </c>
      <c r="F69" s="4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68">
        <f t="shared" ref="R69" si="21">SUM(R68)</f>
        <v>1.7999999999999999E-2</v>
      </c>
      <c r="S69" s="68">
        <f t="shared" ref="S69:BO69" si="22">SUM(S68)</f>
        <v>1.7999999999999999E-2</v>
      </c>
      <c r="T69" s="68">
        <f t="shared" si="22"/>
        <v>1.7999999999999999E-2</v>
      </c>
      <c r="U69" s="68">
        <f t="shared" si="22"/>
        <v>1.7999999999999999E-2</v>
      </c>
      <c r="V69" s="68">
        <f t="shared" si="22"/>
        <v>1.7999999999999999E-2</v>
      </c>
      <c r="W69" s="68">
        <f t="shared" si="22"/>
        <v>1.7999999999999999E-2</v>
      </c>
      <c r="X69" s="68">
        <f t="shared" si="22"/>
        <v>1.7999999999999999E-2</v>
      </c>
      <c r="Y69" s="68">
        <f t="shared" si="22"/>
        <v>1.7999999999999999E-2</v>
      </c>
      <c r="Z69" s="68">
        <f t="shared" si="22"/>
        <v>1.7999999999999999E-2</v>
      </c>
      <c r="AA69" s="68">
        <f t="shared" si="22"/>
        <v>1.7999999999999999E-2</v>
      </c>
      <c r="AB69" s="68">
        <f t="shared" si="22"/>
        <v>1.7999999999999999E-2</v>
      </c>
      <c r="AC69" s="68">
        <f t="shared" si="22"/>
        <v>1.7999999999999999E-2</v>
      </c>
      <c r="AD69" s="68">
        <f t="shared" si="22"/>
        <v>1.7999999999999999E-2</v>
      </c>
      <c r="AE69" s="68">
        <f t="shared" si="22"/>
        <v>1.7999999999999999E-2</v>
      </c>
      <c r="AF69" s="68">
        <f t="shared" si="22"/>
        <v>1.7999999999999999E-2</v>
      </c>
      <c r="AG69" s="68">
        <f t="shared" si="22"/>
        <v>1.7999999999999999E-2</v>
      </c>
      <c r="AH69" s="68">
        <f t="shared" si="22"/>
        <v>1.7999999999999999E-2</v>
      </c>
      <c r="AI69" s="68">
        <f t="shared" si="22"/>
        <v>1.7999999999999999E-2</v>
      </c>
      <c r="AJ69" s="68">
        <f t="shared" si="22"/>
        <v>1.7999999999999999E-2</v>
      </c>
      <c r="AK69" s="68">
        <f t="shared" si="22"/>
        <v>1.7999999999999999E-2</v>
      </c>
      <c r="AL69" s="68">
        <f t="shared" si="22"/>
        <v>1.7999999999999999E-2</v>
      </c>
      <c r="AM69" s="68">
        <f t="shared" si="22"/>
        <v>1.7999999999999999E-2</v>
      </c>
      <c r="AN69" s="68">
        <f t="shared" si="22"/>
        <v>1.7999999999999999E-2</v>
      </c>
      <c r="AO69" s="68">
        <f t="shared" si="22"/>
        <v>1.7999999999999999E-2</v>
      </c>
      <c r="AP69" s="68">
        <f t="shared" si="22"/>
        <v>1.7999999999999999E-2</v>
      </c>
      <c r="AQ69" s="68">
        <f t="shared" si="22"/>
        <v>1.7999999999999999E-2</v>
      </c>
      <c r="AR69" s="68">
        <f t="shared" si="22"/>
        <v>1.7999999999999999E-2</v>
      </c>
      <c r="AS69" s="68">
        <f t="shared" si="22"/>
        <v>1.7999999999999999E-2</v>
      </c>
      <c r="AT69" s="68">
        <f t="shared" si="22"/>
        <v>1.7999999999999999E-2</v>
      </c>
      <c r="AU69" s="68">
        <f t="shared" si="22"/>
        <v>1.7999999999999999E-2</v>
      </c>
      <c r="AV69" s="68">
        <f t="shared" si="22"/>
        <v>1.7999999999999999E-2</v>
      </c>
      <c r="AW69" s="68">
        <f t="shared" si="22"/>
        <v>1.7999999999999999E-2</v>
      </c>
      <c r="AX69" s="68">
        <f t="shared" si="22"/>
        <v>1.7999999999999999E-2</v>
      </c>
      <c r="AY69" s="68">
        <f t="shared" si="22"/>
        <v>1.7999999999999999E-2</v>
      </c>
      <c r="AZ69" s="68">
        <f t="shared" si="22"/>
        <v>1.7999999999999999E-2</v>
      </c>
      <c r="BA69" s="68">
        <f t="shared" si="22"/>
        <v>1.7999999999999999E-2</v>
      </c>
      <c r="BB69" s="68">
        <f t="shared" si="22"/>
        <v>1.7999999999999999E-2</v>
      </c>
      <c r="BC69" s="68">
        <f t="shared" si="22"/>
        <v>1.7999999999999999E-2</v>
      </c>
      <c r="BD69" s="68">
        <f t="shared" si="22"/>
        <v>1.7999999999999999E-2</v>
      </c>
      <c r="BE69" s="68">
        <f t="shared" si="22"/>
        <v>1.7999999999999999E-2</v>
      </c>
      <c r="BF69" s="68">
        <f t="shared" si="22"/>
        <v>1.7999999999999999E-2</v>
      </c>
      <c r="BG69" s="68">
        <f t="shared" si="22"/>
        <v>1.7999999999999999E-2</v>
      </c>
      <c r="BH69" s="68">
        <f t="shared" si="22"/>
        <v>1.7999999999999999E-2</v>
      </c>
      <c r="BI69" s="68">
        <f t="shared" si="22"/>
        <v>1.7999999999999999E-2</v>
      </c>
      <c r="BJ69" s="68">
        <f t="shared" si="22"/>
        <v>1.7999999999999999E-2</v>
      </c>
      <c r="BK69" s="68">
        <f t="shared" si="22"/>
        <v>1.7999999999999999E-2</v>
      </c>
      <c r="BL69" s="68">
        <f t="shared" si="22"/>
        <v>1.7999999999999999E-2</v>
      </c>
      <c r="BM69" s="68">
        <f t="shared" si="22"/>
        <v>1.7999999999999999E-2</v>
      </c>
      <c r="BN69" s="68">
        <f t="shared" si="22"/>
        <v>1.7999999999999999E-2</v>
      </c>
      <c r="BO69" s="68">
        <f t="shared" si="22"/>
        <v>1.7999999999999999E-2</v>
      </c>
    </row>
    <row r="70" spans="1:67" ht="12.75" customHeight="1" x14ac:dyDescent="0.2">
      <c r="A70" s="115">
        <v>4</v>
      </c>
      <c r="C70" s="17"/>
      <c r="D70" s="27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1:67" ht="12.75" customHeight="1" x14ac:dyDescent="0.2">
      <c r="A71" s="115">
        <v>5</v>
      </c>
      <c r="B71" s="17" t="s">
        <v>499</v>
      </c>
      <c r="C71" s="15"/>
      <c r="D71" s="27"/>
      <c r="F71" s="30"/>
    </row>
    <row r="72" spans="1:67" ht="12.75" customHeight="1" x14ac:dyDescent="0.2">
      <c r="A72" s="115">
        <v>6</v>
      </c>
      <c r="B72" s="16"/>
      <c r="C72" s="23" t="s">
        <v>241</v>
      </c>
      <c r="D72" s="27" t="s">
        <v>491</v>
      </c>
      <c r="F72" s="4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61">
        <f t="shared" ref="R72:AW72" si="23">R93</f>
        <v>0.33379739359632382</v>
      </c>
      <c r="S72" s="61">
        <f t="shared" si="23"/>
        <v>0.33379739359632382</v>
      </c>
      <c r="T72" s="61">
        <f t="shared" si="23"/>
        <v>0.33379739359632382</v>
      </c>
      <c r="U72" s="61">
        <f t="shared" si="23"/>
        <v>0.33379739359632382</v>
      </c>
      <c r="V72" s="61">
        <f t="shared" si="23"/>
        <v>0.33379739359632382</v>
      </c>
      <c r="W72" s="61">
        <f t="shared" si="23"/>
        <v>0.33379739359632382</v>
      </c>
      <c r="X72" s="61">
        <f t="shared" si="23"/>
        <v>0.33379739359632382</v>
      </c>
      <c r="Y72" s="61">
        <f t="shared" si="23"/>
        <v>0.33379739359632382</v>
      </c>
      <c r="Z72" s="61">
        <f t="shared" si="23"/>
        <v>0.33379739359632382</v>
      </c>
      <c r="AA72" s="61">
        <f t="shared" si="23"/>
        <v>0.33379739359632382</v>
      </c>
      <c r="AB72" s="61">
        <f t="shared" si="23"/>
        <v>0.33379739359632382</v>
      </c>
      <c r="AC72" s="61">
        <f t="shared" si="23"/>
        <v>0.33379739359632382</v>
      </c>
      <c r="AD72" s="61">
        <f t="shared" si="23"/>
        <v>0.33379739359632382</v>
      </c>
      <c r="AE72" s="61">
        <f t="shared" si="23"/>
        <v>0.33379739359632382</v>
      </c>
      <c r="AF72" s="61">
        <f t="shared" si="23"/>
        <v>0.33379739359632382</v>
      </c>
      <c r="AG72" s="61">
        <f t="shared" si="23"/>
        <v>0.33379739359632382</v>
      </c>
      <c r="AH72" s="61">
        <f t="shared" si="23"/>
        <v>0.33379739359632382</v>
      </c>
      <c r="AI72" s="61">
        <f t="shared" si="23"/>
        <v>0.33379739359632382</v>
      </c>
      <c r="AJ72" s="61">
        <f t="shared" si="23"/>
        <v>0.33379739359632382</v>
      </c>
      <c r="AK72" s="61">
        <f t="shared" si="23"/>
        <v>0.33379739359632382</v>
      </c>
      <c r="AL72" s="61">
        <f t="shared" si="23"/>
        <v>0.33379739359632382</v>
      </c>
      <c r="AM72" s="61">
        <f t="shared" si="23"/>
        <v>0.33379739359632382</v>
      </c>
      <c r="AN72" s="61">
        <f t="shared" si="23"/>
        <v>0.33379739359632382</v>
      </c>
      <c r="AO72" s="61">
        <f t="shared" si="23"/>
        <v>0.33379739359632382</v>
      </c>
      <c r="AP72" s="61">
        <f t="shared" si="23"/>
        <v>0.33379739359632382</v>
      </c>
      <c r="AQ72" s="61">
        <f t="shared" si="23"/>
        <v>0.33379739359632382</v>
      </c>
      <c r="AR72" s="61">
        <f t="shared" si="23"/>
        <v>0.33379739359632382</v>
      </c>
      <c r="AS72" s="61">
        <f t="shared" si="23"/>
        <v>0.33379739359632382</v>
      </c>
      <c r="AT72" s="61">
        <f t="shared" si="23"/>
        <v>0.33379739359632382</v>
      </c>
      <c r="AU72" s="61">
        <f t="shared" si="23"/>
        <v>0.3209590323041534</v>
      </c>
      <c r="AV72" s="61">
        <f t="shared" si="23"/>
        <v>0</v>
      </c>
      <c r="AW72" s="61">
        <f t="shared" si="23"/>
        <v>0</v>
      </c>
      <c r="AX72" s="61">
        <f t="shared" ref="AX72:BO72" si="24">AX93</f>
        <v>0</v>
      </c>
      <c r="AY72" s="61">
        <f t="shared" si="24"/>
        <v>0</v>
      </c>
      <c r="AZ72" s="61">
        <f t="shared" si="24"/>
        <v>0</v>
      </c>
      <c r="BA72" s="61">
        <f t="shared" si="24"/>
        <v>0</v>
      </c>
      <c r="BB72" s="61">
        <f t="shared" si="24"/>
        <v>0</v>
      </c>
      <c r="BC72" s="61">
        <f t="shared" si="24"/>
        <v>0</v>
      </c>
      <c r="BD72" s="61">
        <f t="shared" si="24"/>
        <v>0</v>
      </c>
      <c r="BE72" s="61">
        <f t="shared" si="24"/>
        <v>0</v>
      </c>
      <c r="BF72" s="61">
        <f t="shared" si="24"/>
        <v>0</v>
      </c>
      <c r="BG72" s="61">
        <f t="shared" si="24"/>
        <v>0</v>
      </c>
      <c r="BH72" s="61">
        <f t="shared" si="24"/>
        <v>0</v>
      </c>
      <c r="BI72" s="61">
        <f t="shared" si="24"/>
        <v>0</v>
      </c>
      <c r="BJ72" s="61">
        <f t="shared" si="24"/>
        <v>0</v>
      </c>
      <c r="BK72" s="61">
        <f t="shared" si="24"/>
        <v>0</v>
      </c>
      <c r="BL72" s="61">
        <f t="shared" si="24"/>
        <v>0</v>
      </c>
      <c r="BM72" s="61">
        <f t="shared" si="24"/>
        <v>0</v>
      </c>
      <c r="BN72" s="61">
        <f t="shared" si="24"/>
        <v>0</v>
      </c>
      <c r="BO72" s="61">
        <f t="shared" si="24"/>
        <v>0</v>
      </c>
    </row>
    <row r="73" spans="1:67" ht="12.75" customHeight="1" x14ac:dyDescent="0.2">
      <c r="A73" s="115">
        <v>7</v>
      </c>
      <c r="B73" s="16"/>
      <c r="C73" s="23" t="s">
        <v>275</v>
      </c>
      <c r="D73" s="27" t="s">
        <v>491</v>
      </c>
      <c r="F73" s="4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61">
        <f>($E$12-$E$16)*R101</f>
        <v>6.675947871926477E-3</v>
      </c>
      <c r="S73" s="61">
        <f t="shared" ref="S73:BO73" si="25">($E$12-$E$16)*S101</f>
        <v>6.675947871926477E-3</v>
      </c>
      <c r="T73" s="61">
        <f t="shared" si="25"/>
        <v>6.675947871926477E-3</v>
      </c>
      <c r="U73" s="61">
        <f t="shared" si="25"/>
        <v>6.675947871926477E-3</v>
      </c>
      <c r="V73" s="61">
        <f t="shared" si="25"/>
        <v>6.675947871926477E-3</v>
      </c>
      <c r="W73" s="61">
        <f t="shared" si="25"/>
        <v>6.675947871926477E-3</v>
      </c>
      <c r="X73" s="61">
        <f t="shared" si="25"/>
        <v>6.675947871926477E-3</v>
      </c>
      <c r="Y73" s="61">
        <f t="shared" si="25"/>
        <v>6.675947871926477E-3</v>
      </c>
      <c r="Z73" s="61">
        <f t="shared" si="25"/>
        <v>6.675947871926477E-3</v>
      </c>
      <c r="AA73" s="61">
        <f t="shared" si="25"/>
        <v>6.675947871926477E-3</v>
      </c>
      <c r="AB73" s="61">
        <f t="shared" si="25"/>
        <v>6.675947871926477E-3</v>
      </c>
      <c r="AC73" s="61">
        <f t="shared" si="25"/>
        <v>6.675947871926477E-3</v>
      </c>
      <c r="AD73" s="61">
        <f t="shared" si="25"/>
        <v>6.675947871926477E-3</v>
      </c>
      <c r="AE73" s="61">
        <f t="shared" si="25"/>
        <v>6.675947871926477E-3</v>
      </c>
      <c r="AF73" s="61">
        <f t="shared" si="25"/>
        <v>6.675947871926477E-3</v>
      </c>
      <c r="AG73" s="61">
        <f t="shared" si="25"/>
        <v>6.675947871926477E-3</v>
      </c>
      <c r="AH73" s="61">
        <f t="shared" si="25"/>
        <v>6.675947871926477E-3</v>
      </c>
      <c r="AI73" s="61">
        <f t="shared" si="25"/>
        <v>6.675947871926477E-3</v>
      </c>
      <c r="AJ73" s="61">
        <f t="shared" si="25"/>
        <v>6.675947871926477E-3</v>
      </c>
      <c r="AK73" s="61">
        <f t="shared" si="25"/>
        <v>6.675947871926477E-3</v>
      </c>
      <c r="AL73" s="61">
        <f t="shared" si="25"/>
        <v>6.675947871926477E-3</v>
      </c>
      <c r="AM73" s="61">
        <f t="shared" si="25"/>
        <v>6.675947871926477E-3</v>
      </c>
      <c r="AN73" s="61">
        <f t="shared" si="25"/>
        <v>6.675947871926477E-3</v>
      </c>
      <c r="AO73" s="61">
        <f t="shared" si="25"/>
        <v>6.675947871926477E-3</v>
      </c>
      <c r="AP73" s="61">
        <f t="shared" si="25"/>
        <v>6.675947871926477E-3</v>
      </c>
      <c r="AQ73" s="61">
        <f t="shared" si="25"/>
        <v>6.675947871926477E-3</v>
      </c>
      <c r="AR73" s="61">
        <f t="shared" si="25"/>
        <v>6.675947871926477E-3</v>
      </c>
      <c r="AS73" s="61">
        <f t="shared" si="25"/>
        <v>6.675947871926477E-3</v>
      </c>
      <c r="AT73" s="61">
        <f t="shared" si="25"/>
        <v>6.675947871926477E-3</v>
      </c>
      <c r="AU73" s="61">
        <f t="shared" si="25"/>
        <v>6.675947871926477E-3</v>
      </c>
      <c r="AV73" s="61">
        <f t="shared" si="25"/>
        <v>0</v>
      </c>
      <c r="AW73" s="61">
        <f t="shared" si="25"/>
        <v>0</v>
      </c>
      <c r="AX73" s="61">
        <f t="shared" si="25"/>
        <v>0</v>
      </c>
      <c r="AY73" s="61">
        <f t="shared" si="25"/>
        <v>0</v>
      </c>
      <c r="AZ73" s="61">
        <f t="shared" si="25"/>
        <v>0</v>
      </c>
      <c r="BA73" s="61">
        <f t="shared" si="25"/>
        <v>0</v>
      </c>
      <c r="BB73" s="61">
        <f t="shared" si="25"/>
        <v>0</v>
      </c>
      <c r="BC73" s="61">
        <f t="shared" si="25"/>
        <v>0</v>
      </c>
      <c r="BD73" s="61">
        <f t="shared" si="25"/>
        <v>0</v>
      </c>
      <c r="BE73" s="61">
        <f t="shared" si="25"/>
        <v>0</v>
      </c>
      <c r="BF73" s="61">
        <f t="shared" si="25"/>
        <v>0</v>
      </c>
      <c r="BG73" s="61">
        <f t="shared" si="25"/>
        <v>0</v>
      </c>
      <c r="BH73" s="61">
        <f t="shared" si="25"/>
        <v>0</v>
      </c>
      <c r="BI73" s="61">
        <f t="shared" si="25"/>
        <v>0</v>
      </c>
      <c r="BJ73" s="61">
        <f t="shared" si="25"/>
        <v>0</v>
      </c>
      <c r="BK73" s="61">
        <f t="shared" si="25"/>
        <v>0</v>
      </c>
      <c r="BL73" s="61">
        <f t="shared" si="25"/>
        <v>0</v>
      </c>
      <c r="BM73" s="61">
        <f t="shared" si="25"/>
        <v>0</v>
      </c>
      <c r="BN73" s="61">
        <f t="shared" si="25"/>
        <v>0</v>
      </c>
      <c r="BO73" s="61">
        <f t="shared" si="25"/>
        <v>0</v>
      </c>
    </row>
    <row r="74" spans="1:67" ht="12.75" customHeight="1" x14ac:dyDescent="0.2">
      <c r="A74" s="115">
        <v>8</v>
      </c>
      <c r="C74" s="172" t="s">
        <v>497</v>
      </c>
      <c r="D74" s="27" t="s">
        <v>491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61">
        <f>SUM(R72:R73)</f>
        <v>0.34047334146825031</v>
      </c>
      <c r="S74" s="61">
        <f t="shared" ref="S74:BO74" si="26">SUM(S72:S73)</f>
        <v>0.34047334146825031</v>
      </c>
      <c r="T74" s="61">
        <f t="shared" si="26"/>
        <v>0.34047334146825031</v>
      </c>
      <c r="U74" s="61">
        <f t="shared" si="26"/>
        <v>0.34047334146825031</v>
      </c>
      <c r="V74" s="61">
        <f t="shared" si="26"/>
        <v>0.34047334146825031</v>
      </c>
      <c r="W74" s="61">
        <f t="shared" si="26"/>
        <v>0.34047334146825031</v>
      </c>
      <c r="X74" s="61">
        <f t="shared" si="26"/>
        <v>0.34047334146825031</v>
      </c>
      <c r="Y74" s="61">
        <f t="shared" si="26"/>
        <v>0.34047334146825031</v>
      </c>
      <c r="Z74" s="61">
        <f t="shared" si="26"/>
        <v>0.34047334146825031</v>
      </c>
      <c r="AA74" s="61">
        <f t="shared" si="26"/>
        <v>0.34047334146825031</v>
      </c>
      <c r="AB74" s="61">
        <f t="shared" si="26"/>
        <v>0.34047334146825031</v>
      </c>
      <c r="AC74" s="61">
        <f t="shared" si="26"/>
        <v>0.34047334146825031</v>
      </c>
      <c r="AD74" s="61">
        <f t="shared" si="26"/>
        <v>0.34047334146825031</v>
      </c>
      <c r="AE74" s="61">
        <f t="shared" si="26"/>
        <v>0.34047334146825031</v>
      </c>
      <c r="AF74" s="61">
        <f t="shared" si="26"/>
        <v>0.34047334146825031</v>
      </c>
      <c r="AG74" s="61">
        <f t="shared" si="26"/>
        <v>0.34047334146825031</v>
      </c>
      <c r="AH74" s="61">
        <f t="shared" si="26"/>
        <v>0.34047334146825031</v>
      </c>
      <c r="AI74" s="61">
        <f t="shared" si="26"/>
        <v>0.34047334146825031</v>
      </c>
      <c r="AJ74" s="61">
        <f t="shared" si="26"/>
        <v>0.34047334146825031</v>
      </c>
      <c r="AK74" s="61">
        <f t="shared" si="26"/>
        <v>0.34047334146825031</v>
      </c>
      <c r="AL74" s="61">
        <f t="shared" si="26"/>
        <v>0.34047334146825031</v>
      </c>
      <c r="AM74" s="61">
        <f t="shared" si="26"/>
        <v>0.34047334146825031</v>
      </c>
      <c r="AN74" s="61">
        <f t="shared" si="26"/>
        <v>0.34047334146825031</v>
      </c>
      <c r="AO74" s="61">
        <f t="shared" si="26"/>
        <v>0.34047334146825031</v>
      </c>
      <c r="AP74" s="61">
        <f t="shared" si="26"/>
        <v>0.34047334146825031</v>
      </c>
      <c r="AQ74" s="61">
        <f t="shared" si="26"/>
        <v>0.34047334146825031</v>
      </c>
      <c r="AR74" s="61">
        <f t="shared" si="26"/>
        <v>0.34047334146825031</v>
      </c>
      <c r="AS74" s="61">
        <f t="shared" si="26"/>
        <v>0.34047334146825031</v>
      </c>
      <c r="AT74" s="61">
        <f t="shared" si="26"/>
        <v>0.34047334146825031</v>
      </c>
      <c r="AU74" s="61">
        <f t="shared" si="26"/>
        <v>0.32763498017607989</v>
      </c>
      <c r="AV74" s="61">
        <f t="shared" si="26"/>
        <v>0</v>
      </c>
      <c r="AW74" s="61">
        <f t="shared" si="26"/>
        <v>0</v>
      </c>
      <c r="AX74" s="61">
        <f t="shared" si="26"/>
        <v>0</v>
      </c>
      <c r="AY74" s="61">
        <f t="shared" si="26"/>
        <v>0</v>
      </c>
      <c r="AZ74" s="61">
        <f t="shared" si="26"/>
        <v>0</v>
      </c>
      <c r="BA74" s="61">
        <f t="shared" si="26"/>
        <v>0</v>
      </c>
      <c r="BB74" s="61">
        <f t="shared" si="26"/>
        <v>0</v>
      </c>
      <c r="BC74" s="61">
        <f t="shared" si="26"/>
        <v>0</v>
      </c>
      <c r="BD74" s="61">
        <f t="shared" si="26"/>
        <v>0</v>
      </c>
      <c r="BE74" s="61">
        <f t="shared" si="26"/>
        <v>0</v>
      </c>
      <c r="BF74" s="61">
        <f t="shared" si="26"/>
        <v>0</v>
      </c>
      <c r="BG74" s="61">
        <f t="shared" si="26"/>
        <v>0</v>
      </c>
      <c r="BH74" s="61">
        <f t="shared" si="26"/>
        <v>0</v>
      </c>
      <c r="BI74" s="61">
        <f t="shared" si="26"/>
        <v>0</v>
      </c>
      <c r="BJ74" s="61">
        <f t="shared" si="26"/>
        <v>0</v>
      </c>
      <c r="BK74" s="61">
        <f t="shared" si="26"/>
        <v>0</v>
      </c>
      <c r="BL74" s="61">
        <f t="shared" si="26"/>
        <v>0</v>
      </c>
      <c r="BM74" s="61">
        <f t="shared" si="26"/>
        <v>0</v>
      </c>
      <c r="BN74" s="61">
        <f t="shared" si="26"/>
        <v>0</v>
      </c>
      <c r="BO74" s="61">
        <f t="shared" si="26"/>
        <v>0</v>
      </c>
    </row>
    <row r="75" spans="1:67" ht="12.75" customHeight="1" x14ac:dyDescent="0.2">
      <c r="A75" s="115">
        <v>9</v>
      </c>
      <c r="B75" s="28"/>
      <c r="C75" s="17" t="s">
        <v>500</v>
      </c>
      <c r="D75" s="23" t="s">
        <v>221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281">
        <f>R75*1000000/$R$85</f>
        <v>9.5173288612141388E-2</v>
      </c>
      <c r="Q75" s="30"/>
      <c r="R75" s="225">
        <f>R74/R$47</f>
        <v>0.25316095674975847</v>
      </c>
      <c r="S75" s="225">
        <f t="shared" ref="S75:BO75" si="27">S74/S$47</f>
        <v>0.24698629926805704</v>
      </c>
      <c r="T75" s="225">
        <f t="shared" si="27"/>
        <v>0.24096224318834836</v>
      </c>
      <c r="U75" s="225">
        <f t="shared" si="27"/>
        <v>0.23508511530570575</v>
      </c>
      <c r="V75" s="225">
        <f t="shared" si="27"/>
        <v>0.22935133200556659</v>
      </c>
      <c r="W75" s="225">
        <f t="shared" si="27"/>
        <v>0.22375739707860159</v>
      </c>
      <c r="X75" s="225">
        <f t="shared" si="27"/>
        <v>0.2182998995888796</v>
      </c>
      <c r="Y75" s="225">
        <f t="shared" si="27"/>
        <v>0.2129755117940289</v>
      </c>
      <c r="Z75" s="225">
        <f t="shared" si="27"/>
        <v>0.2077809871161258</v>
      </c>
      <c r="AA75" s="225">
        <f t="shared" si="27"/>
        <v>0.20271315816207397</v>
      </c>
      <c r="AB75" s="225">
        <f t="shared" si="27"/>
        <v>0.19776893479226731</v>
      </c>
      <c r="AC75" s="225">
        <f t="shared" si="27"/>
        <v>0.19294530223635836</v>
      </c>
      <c r="AD75" s="225">
        <f t="shared" si="27"/>
        <v>0.18823931925498377</v>
      </c>
      <c r="AE75" s="225">
        <f t="shared" si="27"/>
        <v>0.18364811634632566</v>
      </c>
      <c r="AF75" s="225">
        <f t="shared" si="27"/>
        <v>0.17916889399641528</v>
      </c>
      <c r="AG75" s="225">
        <f t="shared" si="27"/>
        <v>0.1747989209721125</v>
      </c>
      <c r="AH75" s="225">
        <f t="shared" si="27"/>
        <v>0.17053553265571952</v>
      </c>
      <c r="AI75" s="225">
        <f t="shared" si="27"/>
        <v>0.16637612942021421</v>
      </c>
      <c r="AJ75" s="225">
        <f t="shared" si="27"/>
        <v>0.16231817504411142</v>
      </c>
      <c r="AK75" s="225">
        <f t="shared" si="27"/>
        <v>0.15835919516498675</v>
      </c>
      <c r="AL75" s="225">
        <f t="shared" si="27"/>
        <v>0.15449677577071882</v>
      </c>
      <c r="AM75" s="225">
        <f t="shared" si="27"/>
        <v>0.15072856172753055</v>
      </c>
      <c r="AN75" s="225">
        <f t="shared" si="27"/>
        <v>0.14705225534393226</v>
      </c>
      <c r="AO75" s="225">
        <f t="shared" si="27"/>
        <v>0.14346561496969004</v>
      </c>
      <c r="AP75" s="225">
        <f t="shared" si="27"/>
        <v>0.1399664536289659</v>
      </c>
      <c r="AQ75" s="225">
        <f t="shared" si="27"/>
        <v>0.13655263768679601</v>
      </c>
      <c r="AR75" s="225">
        <f t="shared" si="27"/>
        <v>0.13322208554809367</v>
      </c>
      <c r="AS75" s="225">
        <f t="shared" si="27"/>
        <v>0.12997276638838406</v>
      </c>
      <c r="AT75" s="225">
        <f t="shared" si="27"/>
        <v>0.12680269891549667</v>
      </c>
      <c r="AU75" s="225">
        <f t="shared" si="27"/>
        <v>0.11904517074360574</v>
      </c>
      <c r="AV75" s="225">
        <f t="shared" si="27"/>
        <v>0</v>
      </c>
      <c r="AW75" s="225">
        <f t="shared" si="27"/>
        <v>0</v>
      </c>
      <c r="AX75" s="225">
        <f t="shared" si="27"/>
        <v>0</v>
      </c>
      <c r="AY75" s="225">
        <f t="shared" si="27"/>
        <v>0</v>
      </c>
      <c r="AZ75" s="225">
        <f t="shared" si="27"/>
        <v>0</v>
      </c>
      <c r="BA75" s="225">
        <f t="shared" si="27"/>
        <v>0</v>
      </c>
      <c r="BB75" s="225">
        <f t="shared" si="27"/>
        <v>0</v>
      </c>
      <c r="BC75" s="225">
        <f t="shared" si="27"/>
        <v>0</v>
      </c>
      <c r="BD75" s="225">
        <f t="shared" si="27"/>
        <v>0</v>
      </c>
      <c r="BE75" s="225">
        <f t="shared" si="27"/>
        <v>0</v>
      </c>
      <c r="BF75" s="225">
        <f t="shared" si="27"/>
        <v>0</v>
      </c>
      <c r="BG75" s="225">
        <f t="shared" si="27"/>
        <v>0</v>
      </c>
      <c r="BH75" s="225">
        <f t="shared" si="27"/>
        <v>0</v>
      </c>
      <c r="BI75" s="225">
        <f t="shared" si="27"/>
        <v>0</v>
      </c>
      <c r="BJ75" s="225">
        <f t="shared" si="27"/>
        <v>0</v>
      </c>
      <c r="BK75" s="225">
        <f t="shared" si="27"/>
        <v>0</v>
      </c>
      <c r="BL75" s="225">
        <f t="shared" si="27"/>
        <v>0</v>
      </c>
      <c r="BM75" s="225">
        <f t="shared" si="27"/>
        <v>0</v>
      </c>
      <c r="BN75" s="225">
        <f t="shared" si="27"/>
        <v>0</v>
      </c>
      <c r="BO75" s="225">
        <f t="shared" si="27"/>
        <v>0</v>
      </c>
    </row>
    <row r="76" spans="1:67" ht="12.75" customHeight="1" x14ac:dyDescent="0.2">
      <c r="A76" s="115">
        <v>10</v>
      </c>
      <c r="C76" s="16"/>
      <c r="D76" s="16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81"/>
      <c r="Q76" s="30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</row>
    <row r="77" spans="1:67" ht="12.75" customHeight="1" x14ac:dyDescent="0.2">
      <c r="A77" s="115">
        <v>11</v>
      </c>
      <c r="B77" s="17" t="s">
        <v>501</v>
      </c>
      <c r="D77" s="23" t="s">
        <v>221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66">
        <f>R69+R75</f>
        <v>0.27116095674975849</v>
      </c>
      <c r="S77" s="66">
        <f t="shared" ref="S77:BO77" si="28">S69+S75</f>
        <v>0.26498629926805706</v>
      </c>
      <c r="T77" s="66">
        <f t="shared" si="28"/>
        <v>0.25896224318834837</v>
      </c>
      <c r="U77" s="66">
        <f t="shared" si="28"/>
        <v>0.25308511530570577</v>
      </c>
      <c r="V77" s="66">
        <f t="shared" si="28"/>
        <v>0.24735133200556658</v>
      </c>
      <c r="W77" s="66">
        <f t="shared" si="28"/>
        <v>0.24175739707860158</v>
      </c>
      <c r="X77" s="66">
        <f t="shared" si="28"/>
        <v>0.23629989958887959</v>
      </c>
      <c r="Y77" s="66">
        <f t="shared" si="28"/>
        <v>0.23097551179402889</v>
      </c>
      <c r="Z77" s="66">
        <f t="shared" si="28"/>
        <v>0.22578098711612579</v>
      </c>
      <c r="AA77" s="66">
        <f t="shared" si="28"/>
        <v>0.22071315816207396</v>
      </c>
      <c r="AB77" s="66">
        <f t="shared" si="28"/>
        <v>0.2157689347922673</v>
      </c>
      <c r="AC77" s="66">
        <f t="shared" si="28"/>
        <v>0.21094530223635835</v>
      </c>
      <c r="AD77" s="66">
        <f t="shared" si="28"/>
        <v>0.20623931925498376</v>
      </c>
      <c r="AE77" s="66">
        <f t="shared" si="28"/>
        <v>0.20164811634632565</v>
      </c>
      <c r="AF77" s="66">
        <f t="shared" si="28"/>
        <v>0.19716889399641527</v>
      </c>
      <c r="AG77" s="66">
        <f t="shared" si="28"/>
        <v>0.19279892097211249</v>
      </c>
      <c r="AH77" s="66">
        <f t="shared" si="28"/>
        <v>0.18853553265571951</v>
      </c>
      <c r="AI77" s="66">
        <f t="shared" si="28"/>
        <v>0.1843761294202142</v>
      </c>
      <c r="AJ77" s="66">
        <f t="shared" si="28"/>
        <v>0.18031817504411141</v>
      </c>
      <c r="AK77" s="66">
        <f t="shared" si="28"/>
        <v>0.17635919516498674</v>
      </c>
      <c r="AL77" s="66">
        <f t="shared" si="28"/>
        <v>0.17249677577071881</v>
      </c>
      <c r="AM77" s="66">
        <f t="shared" si="28"/>
        <v>0.16872856172753053</v>
      </c>
      <c r="AN77" s="66">
        <f t="shared" si="28"/>
        <v>0.16505225534393225</v>
      </c>
      <c r="AO77" s="66">
        <f t="shared" si="28"/>
        <v>0.16146561496969003</v>
      </c>
      <c r="AP77" s="66">
        <f t="shared" si="28"/>
        <v>0.15796645362896589</v>
      </c>
      <c r="AQ77" s="66">
        <f t="shared" si="28"/>
        <v>0.154552637686796</v>
      </c>
      <c r="AR77" s="66">
        <f t="shared" si="28"/>
        <v>0.15122208554809366</v>
      </c>
      <c r="AS77" s="66">
        <f t="shared" si="28"/>
        <v>0.14797276638838405</v>
      </c>
      <c r="AT77" s="66">
        <f t="shared" si="28"/>
        <v>0.14480269891549666</v>
      </c>
      <c r="AU77" s="66">
        <f t="shared" si="28"/>
        <v>0.13704517074360573</v>
      </c>
      <c r="AV77" s="66">
        <f t="shared" si="28"/>
        <v>1.7999999999999999E-2</v>
      </c>
      <c r="AW77" s="66">
        <f t="shared" si="28"/>
        <v>1.7999999999999999E-2</v>
      </c>
      <c r="AX77" s="66">
        <f t="shared" si="28"/>
        <v>1.7999999999999999E-2</v>
      </c>
      <c r="AY77" s="66">
        <f t="shared" si="28"/>
        <v>1.7999999999999999E-2</v>
      </c>
      <c r="AZ77" s="66">
        <f t="shared" si="28"/>
        <v>1.7999999999999999E-2</v>
      </c>
      <c r="BA77" s="66">
        <f t="shared" si="28"/>
        <v>1.7999999999999999E-2</v>
      </c>
      <c r="BB77" s="66">
        <f t="shared" si="28"/>
        <v>1.7999999999999999E-2</v>
      </c>
      <c r="BC77" s="66">
        <f t="shared" si="28"/>
        <v>1.7999999999999999E-2</v>
      </c>
      <c r="BD77" s="66">
        <f t="shared" si="28"/>
        <v>1.7999999999999999E-2</v>
      </c>
      <c r="BE77" s="66">
        <f t="shared" si="28"/>
        <v>1.7999999999999999E-2</v>
      </c>
      <c r="BF77" s="66">
        <f t="shared" si="28"/>
        <v>1.7999999999999999E-2</v>
      </c>
      <c r="BG77" s="66">
        <f t="shared" si="28"/>
        <v>1.7999999999999999E-2</v>
      </c>
      <c r="BH77" s="66">
        <f t="shared" si="28"/>
        <v>1.7999999999999999E-2</v>
      </c>
      <c r="BI77" s="66">
        <f t="shared" si="28"/>
        <v>1.7999999999999999E-2</v>
      </c>
      <c r="BJ77" s="66">
        <f t="shared" si="28"/>
        <v>1.7999999999999999E-2</v>
      </c>
      <c r="BK77" s="66">
        <f t="shared" si="28"/>
        <v>1.7999999999999999E-2</v>
      </c>
      <c r="BL77" s="66">
        <f t="shared" si="28"/>
        <v>1.7999999999999999E-2</v>
      </c>
      <c r="BM77" s="66">
        <f t="shared" si="28"/>
        <v>1.7999999999999999E-2</v>
      </c>
      <c r="BN77" s="66">
        <f t="shared" si="28"/>
        <v>1.7999999999999999E-2</v>
      </c>
      <c r="BO77" s="66">
        <f t="shared" si="28"/>
        <v>1.7999999999999999E-2</v>
      </c>
    </row>
    <row r="78" spans="1:67" ht="12.75" customHeight="1" x14ac:dyDescent="0.2">
      <c r="A78" s="115">
        <v>12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</row>
    <row r="79" spans="1:67" ht="12.75" customHeight="1" x14ac:dyDescent="0.2">
      <c r="A79" s="115">
        <v>13</v>
      </c>
      <c r="B79" s="16" t="s">
        <v>502</v>
      </c>
      <c r="D79" s="27"/>
    </row>
    <row r="80" spans="1:67" ht="12.75" customHeight="1" x14ac:dyDescent="0.2">
      <c r="A80" s="115">
        <v>14</v>
      </c>
      <c r="C80" s="29" t="s">
        <v>73</v>
      </c>
      <c r="D80" s="23" t="s">
        <v>221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67">
        <f>R77</f>
        <v>0.27116095674975849</v>
      </c>
      <c r="S80" s="67">
        <f t="shared" ref="S80:BO80" si="29">S77</f>
        <v>0.26498629926805706</v>
      </c>
      <c r="T80" s="67">
        <f t="shared" si="29"/>
        <v>0.25896224318834837</v>
      </c>
      <c r="U80" s="67">
        <f t="shared" si="29"/>
        <v>0.25308511530570577</v>
      </c>
      <c r="V80" s="67">
        <f t="shared" si="29"/>
        <v>0.24735133200556658</v>
      </c>
      <c r="W80" s="67">
        <f t="shared" si="29"/>
        <v>0.24175739707860158</v>
      </c>
      <c r="X80" s="67">
        <f t="shared" si="29"/>
        <v>0.23629989958887959</v>
      </c>
      <c r="Y80" s="67">
        <f t="shared" si="29"/>
        <v>0.23097551179402889</v>
      </c>
      <c r="Z80" s="67">
        <f t="shared" si="29"/>
        <v>0.22578098711612579</v>
      </c>
      <c r="AA80" s="67">
        <f t="shared" si="29"/>
        <v>0.22071315816207396</v>
      </c>
      <c r="AB80" s="67">
        <f t="shared" si="29"/>
        <v>0.2157689347922673</v>
      </c>
      <c r="AC80" s="67">
        <f t="shared" si="29"/>
        <v>0.21094530223635835</v>
      </c>
      <c r="AD80" s="67">
        <f t="shared" si="29"/>
        <v>0.20623931925498376</v>
      </c>
      <c r="AE80" s="67">
        <f t="shared" si="29"/>
        <v>0.20164811634632565</v>
      </c>
      <c r="AF80" s="67">
        <f t="shared" si="29"/>
        <v>0.19716889399641527</v>
      </c>
      <c r="AG80" s="67">
        <f t="shared" si="29"/>
        <v>0.19279892097211249</v>
      </c>
      <c r="AH80" s="67">
        <f t="shared" si="29"/>
        <v>0.18853553265571951</v>
      </c>
      <c r="AI80" s="67">
        <f t="shared" si="29"/>
        <v>0.1843761294202142</v>
      </c>
      <c r="AJ80" s="67">
        <f t="shared" si="29"/>
        <v>0.18031817504411141</v>
      </c>
      <c r="AK80" s="67">
        <f t="shared" si="29"/>
        <v>0.17635919516498674</v>
      </c>
      <c r="AL80" s="67">
        <f t="shared" si="29"/>
        <v>0.17249677577071881</v>
      </c>
      <c r="AM80" s="67">
        <f t="shared" si="29"/>
        <v>0.16872856172753053</v>
      </c>
      <c r="AN80" s="67">
        <f t="shared" si="29"/>
        <v>0.16505225534393225</v>
      </c>
      <c r="AO80" s="67">
        <f t="shared" si="29"/>
        <v>0.16146561496969003</v>
      </c>
      <c r="AP80" s="67">
        <f t="shared" si="29"/>
        <v>0.15796645362896589</v>
      </c>
      <c r="AQ80" s="67">
        <f t="shared" si="29"/>
        <v>0.154552637686796</v>
      </c>
      <c r="AR80" s="67">
        <f t="shared" si="29"/>
        <v>0.15122208554809366</v>
      </c>
      <c r="AS80" s="67">
        <f t="shared" si="29"/>
        <v>0.14797276638838405</v>
      </c>
      <c r="AT80" s="67">
        <f t="shared" si="29"/>
        <v>0.14480269891549666</v>
      </c>
      <c r="AU80" s="67">
        <f t="shared" si="29"/>
        <v>0.13704517074360573</v>
      </c>
      <c r="AV80" s="67">
        <f t="shared" si="29"/>
        <v>1.7999999999999999E-2</v>
      </c>
      <c r="AW80" s="67">
        <f t="shared" si="29"/>
        <v>1.7999999999999999E-2</v>
      </c>
      <c r="AX80" s="67">
        <f t="shared" si="29"/>
        <v>1.7999999999999999E-2</v>
      </c>
      <c r="AY80" s="67">
        <f t="shared" si="29"/>
        <v>1.7999999999999999E-2</v>
      </c>
      <c r="AZ80" s="67">
        <f t="shared" si="29"/>
        <v>1.7999999999999999E-2</v>
      </c>
      <c r="BA80" s="67">
        <f t="shared" si="29"/>
        <v>1.7999999999999999E-2</v>
      </c>
      <c r="BB80" s="67">
        <f t="shared" si="29"/>
        <v>1.7999999999999999E-2</v>
      </c>
      <c r="BC80" s="67">
        <f t="shared" si="29"/>
        <v>1.7999999999999999E-2</v>
      </c>
      <c r="BD80" s="67">
        <f t="shared" si="29"/>
        <v>1.7999999999999999E-2</v>
      </c>
      <c r="BE80" s="67">
        <f t="shared" si="29"/>
        <v>1.7999999999999999E-2</v>
      </c>
      <c r="BF80" s="67">
        <f t="shared" si="29"/>
        <v>1.7999999999999999E-2</v>
      </c>
      <c r="BG80" s="67">
        <f t="shared" si="29"/>
        <v>1.7999999999999999E-2</v>
      </c>
      <c r="BH80" s="67">
        <f t="shared" si="29"/>
        <v>1.7999999999999999E-2</v>
      </c>
      <c r="BI80" s="67">
        <f t="shared" si="29"/>
        <v>1.7999999999999999E-2</v>
      </c>
      <c r="BJ80" s="67">
        <f t="shared" si="29"/>
        <v>1.7999999999999999E-2</v>
      </c>
      <c r="BK80" s="67">
        <f t="shared" si="29"/>
        <v>1.7999999999999999E-2</v>
      </c>
      <c r="BL80" s="67">
        <f t="shared" si="29"/>
        <v>1.7999999999999999E-2</v>
      </c>
      <c r="BM80" s="67">
        <f t="shared" si="29"/>
        <v>1.7999999999999999E-2</v>
      </c>
      <c r="BN80" s="67">
        <f t="shared" si="29"/>
        <v>1.7999999999999999E-2</v>
      </c>
      <c r="BO80" s="67">
        <f t="shared" si="29"/>
        <v>1.7999999999999999E-2</v>
      </c>
    </row>
    <row r="81" spans="1:68" ht="12.75" customHeight="1" x14ac:dyDescent="0.2">
      <c r="A81" s="115">
        <v>15</v>
      </c>
      <c r="C81" s="73" t="s">
        <v>270</v>
      </c>
      <c r="D81" s="23" t="s">
        <v>221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67">
        <f t="shared" ref="R81:AW81" si="30">($E$17-1)*R74/R$47</f>
        <v>0</v>
      </c>
      <c r="S81" s="67">
        <f t="shared" si="30"/>
        <v>0</v>
      </c>
      <c r="T81" s="67">
        <f t="shared" si="30"/>
        <v>0</v>
      </c>
      <c r="U81" s="67">
        <f t="shared" si="30"/>
        <v>0</v>
      </c>
      <c r="V81" s="67">
        <f t="shared" si="30"/>
        <v>0</v>
      </c>
      <c r="W81" s="67">
        <f t="shared" si="30"/>
        <v>0</v>
      </c>
      <c r="X81" s="67">
        <f t="shared" si="30"/>
        <v>0</v>
      </c>
      <c r="Y81" s="67">
        <f t="shared" si="30"/>
        <v>0</v>
      </c>
      <c r="Z81" s="67">
        <f t="shared" si="30"/>
        <v>0</v>
      </c>
      <c r="AA81" s="67">
        <f t="shared" si="30"/>
        <v>0</v>
      </c>
      <c r="AB81" s="67">
        <f t="shared" si="30"/>
        <v>0</v>
      </c>
      <c r="AC81" s="67">
        <f t="shared" si="30"/>
        <v>0</v>
      </c>
      <c r="AD81" s="67">
        <f t="shared" si="30"/>
        <v>0</v>
      </c>
      <c r="AE81" s="67">
        <f t="shared" si="30"/>
        <v>0</v>
      </c>
      <c r="AF81" s="67">
        <f t="shared" si="30"/>
        <v>0</v>
      </c>
      <c r="AG81" s="67">
        <f t="shared" si="30"/>
        <v>0</v>
      </c>
      <c r="AH81" s="67">
        <f t="shared" si="30"/>
        <v>0</v>
      </c>
      <c r="AI81" s="67">
        <f t="shared" si="30"/>
        <v>0</v>
      </c>
      <c r="AJ81" s="67">
        <f t="shared" si="30"/>
        <v>0</v>
      </c>
      <c r="AK81" s="67">
        <f t="shared" si="30"/>
        <v>0</v>
      </c>
      <c r="AL81" s="67">
        <f t="shared" si="30"/>
        <v>0</v>
      </c>
      <c r="AM81" s="67">
        <f t="shared" si="30"/>
        <v>0</v>
      </c>
      <c r="AN81" s="67">
        <f t="shared" si="30"/>
        <v>0</v>
      </c>
      <c r="AO81" s="67">
        <f t="shared" si="30"/>
        <v>0</v>
      </c>
      <c r="AP81" s="67">
        <f t="shared" si="30"/>
        <v>0</v>
      </c>
      <c r="AQ81" s="67">
        <f t="shared" si="30"/>
        <v>0</v>
      </c>
      <c r="AR81" s="67">
        <f t="shared" si="30"/>
        <v>0</v>
      </c>
      <c r="AS81" s="67">
        <f t="shared" si="30"/>
        <v>0</v>
      </c>
      <c r="AT81" s="67">
        <f t="shared" si="30"/>
        <v>0</v>
      </c>
      <c r="AU81" s="67">
        <f t="shared" si="30"/>
        <v>0</v>
      </c>
      <c r="AV81" s="67">
        <f t="shared" si="30"/>
        <v>0</v>
      </c>
      <c r="AW81" s="67">
        <f t="shared" si="30"/>
        <v>0</v>
      </c>
      <c r="AX81" s="67">
        <f t="shared" ref="AX81:BO81" si="31">($E$17-1)*AX74/AX$47</f>
        <v>0</v>
      </c>
      <c r="AY81" s="67">
        <f t="shared" si="31"/>
        <v>0</v>
      </c>
      <c r="AZ81" s="67">
        <f t="shared" si="31"/>
        <v>0</v>
      </c>
      <c r="BA81" s="67">
        <f t="shared" si="31"/>
        <v>0</v>
      </c>
      <c r="BB81" s="67">
        <f t="shared" si="31"/>
        <v>0</v>
      </c>
      <c r="BC81" s="67">
        <f t="shared" si="31"/>
        <v>0</v>
      </c>
      <c r="BD81" s="67">
        <f t="shared" si="31"/>
        <v>0</v>
      </c>
      <c r="BE81" s="67">
        <f t="shared" si="31"/>
        <v>0</v>
      </c>
      <c r="BF81" s="67">
        <f t="shared" si="31"/>
        <v>0</v>
      </c>
      <c r="BG81" s="67">
        <f t="shared" si="31"/>
        <v>0</v>
      </c>
      <c r="BH81" s="67">
        <f t="shared" si="31"/>
        <v>0</v>
      </c>
      <c r="BI81" s="67">
        <f t="shared" si="31"/>
        <v>0</v>
      </c>
      <c r="BJ81" s="67">
        <f t="shared" si="31"/>
        <v>0</v>
      </c>
      <c r="BK81" s="67">
        <f t="shared" si="31"/>
        <v>0</v>
      </c>
      <c r="BL81" s="67">
        <f t="shared" si="31"/>
        <v>0</v>
      </c>
      <c r="BM81" s="67">
        <f t="shared" si="31"/>
        <v>0</v>
      </c>
      <c r="BN81" s="67">
        <f t="shared" si="31"/>
        <v>0</v>
      </c>
      <c r="BO81" s="67">
        <f t="shared" si="31"/>
        <v>0</v>
      </c>
    </row>
    <row r="82" spans="1:68" ht="12.75" customHeight="1" x14ac:dyDescent="0.2">
      <c r="A82" s="115">
        <v>16</v>
      </c>
      <c r="C82" s="73" t="s">
        <v>533</v>
      </c>
      <c r="D82" s="23" t="s">
        <v>221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67">
        <f>-R113</f>
        <v>0</v>
      </c>
      <c r="S82" s="67">
        <f t="shared" ref="S82:BO82" si="32">-S113</f>
        <v>0</v>
      </c>
      <c r="T82" s="67">
        <f t="shared" si="32"/>
        <v>0</v>
      </c>
      <c r="U82" s="67">
        <f t="shared" si="32"/>
        <v>0</v>
      </c>
      <c r="V82" s="67">
        <f t="shared" si="32"/>
        <v>0</v>
      </c>
      <c r="W82" s="67">
        <f t="shared" si="32"/>
        <v>0</v>
      </c>
      <c r="X82" s="67">
        <f t="shared" si="32"/>
        <v>0</v>
      </c>
      <c r="Y82" s="67">
        <f t="shared" si="32"/>
        <v>0</v>
      </c>
      <c r="Z82" s="67">
        <f t="shared" si="32"/>
        <v>0</v>
      </c>
      <c r="AA82" s="67">
        <f t="shared" si="32"/>
        <v>0</v>
      </c>
      <c r="AB82" s="67">
        <f t="shared" si="32"/>
        <v>0</v>
      </c>
      <c r="AC82" s="67">
        <f t="shared" si="32"/>
        <v>0</v>
      </c>
      <c r="AD82" s="67">
        <f t="shared" si="32"/>
        <v>0</v>
      </c>
      <c r="AE82" s="67">
        <f t="shared" si="32"/>
        <v>0</v>
      </c>
      <c r="AF82" s="67">
        <f t="shared" si="32"/>
        <v>0</v>
      </c>
      <c r="AG82" s="67">
        <f t="shared" si="32"/>
        <v>0</v>
      </c>
      <c r="AH82" s="67">
        <f t="shared" si="32"/>
        <v>0</v>
      </c>
      <c r="AI82" s="67">
        <f t="shared" si="32"/>
        <v>0</v>
      </c>
      <c r="AJ82" s="67">
        <f t="shared" si="32"/>
        <v>0</v>
      </c>
      <c r="AK82" s="67">
        <f t="shared" si="32"/>
        <v>0</v>
      </c>
      <c r="AL82" s="67">
        <f t="shared" si="32"/>
        <v>0</v>
      </c>
      <c r="AM82" s="67">
        <f t="shared" si="32"/>
        <v>0</v>
      </c>
      <c r="AN82" s="67">
        <f t="shared" si="32"/>
        <v>0</v>
      </c>
      <c r="AO82" s="67">
        <f t="shared" si="32"/>
        <v>0</v>
      </c>
      <c r="AP82" s="67">
        <f t="shared" si="32"/>
        <v>0</v>
      </c>
      <c r="AQ82" s="67">
        <f t="shared" si="32"/>
        <v>0</v>
      </c>
      <c r="AR82" s="67">
        <f t="shared" si="32"/>
        <v>0</v>
      </c>
      <c r="AS82" s="67">
        <f t="shared" si="32"/>
        <v>0</v>
      </c>
      <c r="AT82" s="67">
        <f t="shared" si="32"/>
        <v>0</v>
      </c>
      <c r="AU82" s="67">
        <f t="shared" si="32"/>
        <v>0</v>
      </c>
      <c r="AV82" s="67">
        <f t="shared" si="32"/>
        <v>0</v>
      </c>
      <c r="AW82" s="67">
        <f t="shared" si="32"/>
        <v>0</v>
      </c>
      <c r="AX82" s="67">
        <f t="shared" si="32"/>
        <v>0</v>
      </c>
      <c r="AY82" s="67">
        <f t="shared" si="32"/>
        <v>0</v>
      </c>
      <c r="AZ82" s="67">
        <f t="shared" si="32"/>
        <v>0</v>
      </c>
      <c r="BA82" s="67">
        <f t="shared" si="32"/>
        <v>0</v>
      </c>
      <c r="BB82" s="67">
        <f t="shared" si="32"/>
        <v>0</v>
      </c>
      <c r="BC82" s="67">
        <f t="shared" si="32"/>
        <v>0</v>
      </c>
      <c r="BD82" s="67">
        <f t="shared" si="32"/>
        <v>0</v>
      </c>
      <c r="BE82" s="67">
        <f t="shared" si="32"/>
        <v>0</v>
      </c>
      <c r="BF82" s="67">
        <f t="shared" si="32"/>
        <v>0</v>
      </c>
      <c r="BG82" s="67">
        <f t="shared" si="32"/>
        <v>0</v>
      </c>
      <c r="BH82" s="67">
        <f t="shared" si="32"/>
        <v>0</v>
      </c>
      <c r="BI82" s="67">
        <f t="shared" si="32"/>
        <v>0</v>
      </c>
      <c r="BJ82" s="67">
        <f t="shared" si="32"/>
        <v>0</v>
      </c>
      <c r="BK82" s="67">
        <f t="shared" si="32"/>
        <v>0</v>
      </c>
      <c r="BL82" s="67">
        <f t="shared" si="32"/>
        <v>0</v>
      </c>
      <c r="BM82" s="67">
        <f t="shared" si="32"/>
        <v>0</v>
      </c>
      <c r="BN82" s="67">
        <f t="shared" si="32"/>
        <v>0</v>
      </c>
      <c r="BO82" s="67">
        <f t="shared" si="32"/>
        <v>0</v>
      </c>
    </row>
    <row r="83" spans="1:68" ht="12.75" customHeight="1" x14ac:dyDescent="0.2">
      <c r="A83" s="115">
        <v>17</v>
      </c>
      <c r="B83" s="17" t="s">
        <v>503</v>
      </c>
      <c r="D83" s="23" t="s">
        <v>221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123"/>
      <c r="R83" s="76">
        <f>R80+R81</f>
        <v>0.27116095674975849</v>
      </c>
      <c r="S83" s="76">
        <f t="shared" ref="S83:BO83" si="33">S80+S81</f>
        <v>0.26498629926805706</v>
      </c>
      <c r="T83" s="76">
        <f t="shared" si="33"/>
        <v>0.25896224318834837</v>
      </c>
      <c r="U83" s="76">
        <f t="shared" si="33"/>
        <v>0.25308511530570577</v>
      </c>
      <c r="V83" s="76">
        <f t="shared" si="33"/>
        <v>0.24735133200556658</v>
      </c>
      <c r="W83" s="76">
        <f t="shared" si="33"/>
        <v>0.24175739707860158</v>
      </c>
      <c r="X83" s="76">
        <f t="shared" si="33"/>
        <v>0.23629989958887959</v>
      </c>
      <c r="Y83" s="76">
        <f t="shared" si="33"/>
        <v>0.23097551179402889</v>
      </c>
      <c r="Z83" s="76">
        <f t="shared" si="33"/>
        <v>0.22578098711612579</v>
      </c>
      <c r="AA83" s="76">
        <f t="shared" si="33"/>
        <v>0.22071315816207396</v>
      </c>
      <c r="AB83" s="76">
        <f t="shared" si="33"/>
        <v>0.2157689347922673</v>
      </c>
      <c r="AC83" s="76">
        <f t="shared" si="33"/>
        <v>0.21094530223635835</v>
      </c>
      <c r="AD83" s="76">
        <f t="shared" si="33"/>
        <v>0.20623931925498376</v>
      </c>
      <c r="AE83" s="76">
        <f t="shared" si="33"/>
        <v>0.20164811634632565</v>
      </c>
      <c r="AF83" s="76">
        <f t="shared" si="33"/>
        <v>0.19716889399641527</v>
      </c>
      <c r="AG83" s="76">
        <f t="shared" si="33"/>
        <v>0.19279892097211249</v>
      </c>
      <c r="AH83" s="76">
        <f t="shared" si="33"/>
        <v>0.18853553265571951</v>
      </c>
      <c r="AI83" s="76">
        <f t="shared" si="33"/>
        <v>0.1843761294202142</v>
      </c>
      <c r="AJ83" s="76">
        <f t="shared" si="33"/>
        <v>0.18031817504411141</v>
      </c>
      <c r="AK83" s="76">
        <f t="shared" si="33"/>
        <v>0.17635919516498674</v>
      </c>
      <c r="AL83" s="76">
        <f t="shared" si="33"/>
        <v>0.17249677577071881</v>
      </c>
      <c r="AM83" s="76">
        <f t="shared" si="33"/>
        <v>0.16872856172753053</v>
      </c>
      <c r="AN83" s="76">
        <f t="shared" si="33"/>
        <v>0.16505225534393225</v>
      </c>
      <c r="AO83" s="76">
        <f t="shared" si="33"/>
        <v>0.16146561496969003</v>
      </c>
      <c r="AP83" s="76">
        <f t="shared" si="33"/>
        <v>0.15796645362896589</v>
      </c>
      <c r="AQ83" s="76">
        <f t="shared" si="33"/>
        <v>0.154552637686796</v>
      </c>
      <c r="AR83" s="76">
        <f t="shared" si="33"/>
        <v>0.15122208554809366</v>
      </c>
      <c r="AS83" s="76">
        <f t="shared" si="33"/>
        <v>0.14797276638838405</v>
      </c>
      <c r="AT83" s="76">
        <f t="shared" si="33"/>
        <v>0.14480269891549666</v>
      </c>
      <c r="AU83" s="76">
        <f t="shared" si="33"/>
        <v>0.13704517074360573</v>
      </c>
      <c r="AV83" s="76">
        <f t="shared" si="33"/>
        <v>1.7999999999999999E-2</v>
      </c>
      <c r="AW83" s="76">
        <f t="shared" si="33"/>
        <v>1.7999999999999999E-2</v>
      </c>
      <c r="AX83" s="76">
        <f t="shared" si="33"/>
        <v>1.7999999999999999E-2</v>
      </c>
      <c r="AY83" s="76">
        <f t="shared" si="33"/>
        <v>1.7999999999999999E-2</v>
      </c>
      <c r="AZ83" s="76">
        <f t="shared" si="33"/>
        <v>1.7999999999999999E-2</v>
      </c>
      <c r="BA83" s="76">
        <f t="shared" si="33"/>
        <v>1.7999999999999999E-2</v>
      </c>
      <c r="BB83" s="76">
        <f t="shared" si="33"/>
        <v>1.7999999999999999E-2</v>
      </c>
      <c r="BC83" s="76">
        <f t="shared" si="33"/>
        <v>1.7999999999999999E-2</v>
      </c>
      <c r="BD83" s="76">
        <f t="shared" si="33"/>
        <v>1.7999999999999999E-2</v>
      </c>
      <c r="BE83" s="76">
        <f t="shared" si="33"/>
        <v>1.7999999999999999E-2</v>
      </c>
      <c r="BF83" s="76">
        <f t="shared" si="33"/>
        <v>1.7999999999999999E-2</v>
      </c>
      <c r="BG83" s="76">
        <f t="shared" si="33"/>
        <v>1.7999999999999999E-2</v>
      </c>
      <c r="BH83" s="76">
        <f t="shared" si="33"/>
        <v>1.7999999999999999E-2</v>
      </c>
      <c r="BI83" s="76">
        <f t="shared" si="33"/>
        <v>1.7999999999999999E-2</v>
      </c>
      <c r="BJ83" s="76">
        <f t="shared" si="33"/>
        <v>1.7999999999999999E-2</v>
      </c>
      <c r="BK83" s="76">
        <f t="shared" si="33"/>
        <v>1.7999999999999999E-2</v>
      </c>
      <c r="BL83" s="76">
        <f t="shared" si="33"/>
        <v>1.7999999999999999E-2</v>
      </c>
      <c r="BM83" s="76">
        <f t="shared" si="33"/>
        <v>1.7999999999999999E-2</v>
      </c>
      <c r="BN83" s="76">
        <f t="shared" si="33"/>
        <v>1.7999999999999999E-2</v>
      </c>
      <c r="BO83" s="76">
        <f t="shared" si="33"/>
        <v>1.7999999999999999E-2</v>
      </c>
    </row>
    <row r="84" spans="1:68" ht="12.75" customHeight="1" x14ac:dyDescent="0.2">
      <c r="A84" s="115">
        <v>18</v>
      </c>
      <c r="C84" s="23" t="s">
        <v>79</v>
      </c>
      <c r="D84" s="23" t="s">
        <v>0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59"/>
      <c r="R84" s="46">
        <f t="shared" ref="R84:AW84" si="34">$E$7</f>
        <v>2800000.1</v>
      </c>
      <c r="S84" s="46">
        <f t="shared" si="34"/>
        <v>2800000.1</v>
      </c>
      <c r="T84" s="46">
        <f t="shared" si="34"/>
        <v>2800000.1</v>
      </c>
      <c r="U84" s="46">
        <f t="shared" si="34"/>
        <v>2800000.1</v>
      </c>
      <c r="V84" s="46">
        <f t="shared" si="34"/>
        <v>2800000.1</v>
      </c>
      <c r="W84" s="46">
        <f t="shared" si="34"/>
        <v>2800000.1</v>
      </c>
      <c r="X84" s="46">
        <f t="shared" si="34"/>
        <v>2800000.1</v>
      </c>
      <c r="Y84" s="46">
        <f t="shared" si="34"/>
        <v>2800000.1</v>
      </c>
      <c r="Z84" s="46">
        <f t="shared" si="34"/>
        <v>2800000.1</v>
      </c>
      <c r="AA84" s="46">
        <f t="shared" si="34"/>
        <v>2800000.1</v>
      </c>
      <c r="AB84" s="46">
        <f t="shared" si="34"/>
        <v>2800000.1</v>
      </c>
      <c r="AC84" s="46">
        <f t="shared" si="34"/>
        <v>2800000.1</v>
      </c>
      <c r="AD84" s="46">
        <f t="shared" si="34"/>
        <v>2800000.1</v>
      </c>
      <c r="AE84" s="46">
        <f t="shared" si="34"/>
        <v>2800000.1</v>
      </c>
      <c r="AF84" s="46">
        <f t="shared" si="34"/>
        <v>2800000.1</v>
      </c>
      <c r="AG84" s="46">
        <f t="shared" si="34"/>
        <v>2800000.1</v>
      </c>
      <c r="AH84" s="46">
        <f t="shared" si="34"/>
        <v>2800000.1</v>
      </c>
      <c r="AI84" s="46">
        <f t="shared" si="34"/>
        <v>2800000.1</v>
      </c>
      <c r="AJ84" s="46">
        <f t="shared" si="34"/>
        <v>2800000.1</v>
      </c>
      <c r="AK84" s="46">
        <f t="shared" si="34"/>
        <v>2800000.1</v>
      </c>
      <c r="AL84" s="46">
        <f t="shared" si="34"/>
        <v>2800000.1</v>
      </c>
      <c r="AM84" s="46">
        <f t="shared" si="34"/>
        <v>2800000.1</v>
      </c>
      <c r="AN84" s="46">
        <f t="shared" si="34"/>
        <v>2800000.1</v>
      </c>
      <c r="AO84" s="46">
        <f t="shared" si="34"/>
        <v>2800000.1</v>
      </c>
      <c r="AP84" s="46">
        <f t="shared" si="34"/>
        <v>2800000.1</v>
      </c>
      <c r="AQ84" s="46">
        <f t="shared" si="34"/>
        <v>2800000.1</v>
      </c>
      <c r="AR84" s="46">
        <f t="shared" si="34"/>
        <v>2800000.1</v>
      </c>
      <c r="AS84" s="46">
        <f t="shared" si="34"/>
        <v>2800000.1</v>
      </c>
      <c r="AT84" s="46">
        <f t="shared" si="34"/>
        <v>2800000.1</v>
      </c>
      <c r="AU84" s="46">
        <f t="shared" si="34"/>
        <v>2800000.1</v>
      </c>
      <c r="AV84" s="46">
        <f t="shared" si="34"/>
        <v>2800000.1</v>
      </c>
      <c r="AW84" s="46">
        <f t="shared" si="34"/>
        <v>2800000.1</v>
      </c>
      <c r="AX84" s="46">
        <f t="shared" ref="AX84:BO84" si="35">$E$7</f>
        <v>2800000.1</v>
      </c>
      <c r="AY84" s="46">
        <f t="shared" si="35"/>
        <v>2800000.1</v>
      </c>
      <c r="AZ84" s="46">
        <f t="shared" si="35"/>
        <v>2800000.1</v>
      </c>
      <c r="BA84" s="46">
        <f t="shared" si="35"/>
        <v>2800000.1</v>
      </c>
      <c r="BB84" s="46">
        <f t="shared" si="35"/>
        <v>2800000.1</v>
      </c>
      <c r="BC84" s="46">
        <f t="shared" si="35"/>
        <v>2800000.1</v>
      </c>
      <c r="BD84" s="46">
        <f t="shared" si="35"/>
        <v>2800000.1</v>
      </c>
      <c r="BE84" s="46">
        <f t="shared" si="35"/>
        <v>2800000.1</v>
      </c>
      <c r="BF84" s="46">
        <f t="shared" si="35"/>
        <v>2800000.1</v>
      </c>
      <c r="BG84" s="46">
        <f t="shared" si="35"/>
        <v>2800000.1</v>
      </c>
      <c r="BH84" s="46">
        <f t="shared" si="35"/>
        <v>2800000.1</v>
      </c>
      <c r="BI84" s="46">
        <f t="shared" si="35"/>
        <v>2800000.1</v>
      </c>
      <c r="BJ84" s="46">
        <f t="shared" si="35"/>
        <v>2800000.1</v>
      </c>
      <c r="BK84" s="46">
        <f t="shared" si="35"/>
        <v>2800000.1</v>
      </c>
      <c r="BL84" s="46">
        <f t="shared" si="35"/>
        <v>2800000.1</v>
      </c>
      <c r="BM84" s="46">
        <f t="shared" si="35"/>
        <v>2800000.1</v>
      </c>
      <c r="BN84" s="46">
        <f t="shared" si="35"/>
        <v>2800000.1</v>
      </c>
      <c r="BO84" s="46">
        <f t="shared" si="35"/>
        <v>2800000.1</v>
      </c>
    </row>
    <row r="85" spans="1:68" ht="12.75" customHeight="1" x14ac:dyDescent="0.2">
      <c r="A85" s="115">
        <v>19</v>
      </c>
      <c r="C85" s="23" t="s">
        <v>82</v>
      </c>
      <c r="D85" s="23" t="s">
        <v>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>
        <f>R84*$E$20</f>
        <v>2660000.0949999997</v>
      </c>
      <c r="S85" s="46">
        <f t="shared" ref="S85:BO85" si="36">S84*$E$20</f>
        <v>2660000.0949999997</v>
      </c>
      <c r="T85" s="46">
        <f t="shared" si="36"/>
        <v>2660000.0949999997</v>
      </c>
      <c r="U85" s="46">
        <f t="shared" si="36"/>
        <v>2660000.0949999997</v>
      </c>
      <c r="V85" s="46">
        <f t="shared" si="36"/>
        <v>2660000.0949999997</v>
      </c>
      <c r="W85" s="46">
        <f t="shared" si="36"/>
        <v>2660000.0949999997</v>
      </c>
      <c r="X85" s="46">
        <f t="shared" si="36"/>
        <v>2660000.0949999997</v>
      </c>
      <c r="Y85" s="46">
        <f t="shared" si="36"/>
        <v>2660000.0949999997</v>
      </c>
      <c r="Z85" s="46">
        <f t="shared" si="36"/>
        <v>2660000.0949999997</v>
      </c>
      <c r="AA85" s="46">
        <f t="shared" si="36"/>
        <v>2660000.0949999997</v>
      </c>
      <c r="AB85" s="46">
        <f t="shared" si="36"/>
        <v>2660000.0949999997</v>
      </c>
      <c r="AC85" s="46">
        <f t="shared" si="36"/>
        <v>2660000.0949999997</v>
      </c>
      <c r="AD85" s="46">
        <f t="shared" si="36"/>
        <v>2660000.0949999997</v>
      </c>
      <c r="AE85" s="46">
        <f t="shared" si="36"/>
        <v>2660000.0949999997</v>
      </c>
      <c r="AF85" s="46">
        <f t="shared" si="36"/>
        <v>2660000.0949999997</v>
      </c>
      <c r="AG85" s="46">
        <f t="shared" si="36"/>
        <v>2660000.0949999997</v>
      </c>
      <c r="AH85" s="46">
        <f t="shared" si="36"/>
        <v>2660000.0949999997</v>
      </c>
      <c r="AI85" s="46">
        <f t="shared" si="36"/>
        <v>2660000.0949999997</v>
      </c>
      <c r="AJ85" s="46">
        <f t="shared" si="36"/>
        <v>2660000.0949999997</v>
      </c>
      <c r="AK85" s="46">
        <f t="shared" si="36"/>
        <v>2660000.0949999997</v>
      </c>
      <c r="AL85" s="46">
        <f t="shared" si="36"/>
        <v>2660000.0949999997</v>
      </c>
      <c r="AM85" s="46">
        <f t="shared" si="36"/>
        <v>2660000.0949999997</v>
      </c>
      <c r="AN85" s="46">
        <f t="shared" si="36"/>
        <v>2660000.0949999997</v>
      </c>
      <c r="AO85" s="46">
        <f t="shared" si="36"/>
        <v>2660000.0949999997</v>
      </c>
      <c r="AP85" s="46">
        <f t="shared" si="36"/>
        <v>2660000.0949999997</v>
      </c>
      <c r="AQ85" s="46">
        <f t="shared" si="36"/>
        <v>2660000.0949999997</v>
      </c>
      <c r="AR85" s="46">
        <f t="shared" si="36"/>
        <v>2660000.0949999997</v>
      </c>
      <c r="AS85" s="46">
        <f t="shared" si="36"/>
        <v>2660000.0949999997</v>
      </c>
      <c r="AT85" s="46">
        <f t="shared" si="36"/>
        <v>2660000.0949999997</v>
      </c>
      <c r="AU85" s="46">
        <f t="shared" si="36"/>
        <v>2660000.0949999997</v>
      </c>
      <c r="AV85" s="46">
        <f t="shared" si="36"/>
        <v>2660000.0949999997</v>
      </c>
      <c r="AW85" s="46">
        <f t="shared" si="36"/>
        <v>2660000.0949999997</v>
      </c>
      <c r="AX85" s="46">
        <f t="shared" si="36"/>
        <v>2660000.0949999997</v>
      </c>
      <c r="AY85" s="46">
        <f t="shared" si="36"/>
        <v>2660000.0949999997</v>
      </c>
      <c r="AZ85" s="46">
        <f t="shared" si="36"/>
        <v>2660000.0949999997</v>
      </c>
      <c r="BA85" s="46">
        <f t="shared" si="36"/>
        <v>2660000.0949999997</v>
      </c>
      <c r="BB85" s="46">
        <f t="shared" si="36"/>
        <v>2660000.0949999997</v>
      </c>
      <c r="BC85" s="46">
        <f t="shared" si="36"/>
        <v>2660000.0949999997</v>
      </c>
      <c r="BD85" s="46">
        <f t="shared" si="36"/>
        <v>2660000.0949999997</v>
      </c>
      <c r="BE85" s="46">
        <f t="shared" si="36"/>
        <v>2660000.0949999997</v>
      </c>
      <c r="BF85" s="46">
        <f t="shared" si="36"/>
        <v>2660000.0949999997</v>
      </c>
      <c r="BG85" s="46">
        <f t="shared" si="36"/>
        <v>2660000.0949999997</v>
      </c>
      <c r="BH85" s="46">
        <f t="shared" si="36"/>
        <v>2660000.0949999997</v>
      </c>
      <c r="BI85" s="46">
        <f t="shared" si="36"/>
        <v>2660000.0949999997</v>
      </c>
      <c r="BJ85" s="46">
        <f t="shared" si="36"/>
        <v>2660000.0949999997</v>
      </c>
      <c r="BK85" s="46">
        <f t="shared" si="36"/>
        <v>2660000.0949999997</v>
      </c>
      <c r="BL85" s="46">
        <f t="shared" si="36"/>
        <v>2660000.0949999997</v>
      </c>
      <c r="BM85" s="46">
        <f t="shared" si="36"/>
        <v>2660000.0949999997</v>
      </c>
      <c r="BN85" s="46">
        <f t="shared" si="36"/>
        <v>2660000.0949999997</v>
      </c>
      <c r="BO85" s="46">
        <f t="shared" si="36"/>
        <v>2660000.0949999997</v>
      </c>
    </row>
    <row r="86" spans="1:68" ht="12.75" customHeight="1" x14ac:dyDescent="0.2">
      <c r="A86" s="115">
        <v>20</v>
      </c>
      <c r="B86" s="28" t="s">
        <v>504</v>
      </c>
      <c r="D86" s="23" t="s">
        <v>223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226">
        <f>R83*1000000000/(R85*1000)</f>
        <v>0.10194020566369887</v>
      </c>
      <c r="S86" s="226">
        <f t="shared" ref="S86:BO86" si="37">S83*1000000000/(S85*1000)</f>
        <v>9.9618905941451522E-2</v>
      </c>
      <c r="T86" s="226">
        <f t="shared" si="37"/>
        <v>9.7354223285600464E-2</v>
      </c>
      <c r="U86" s="226">
        <f t="shared" si="37"/>
        <v>9.5144776792087216E-2</v>
      </c>
      <c r="V86" s="226">
        <f t="shared" si="37"/>
        <v>9.2989219237440149E-2</v>
      </c>
      <c r="W86" s="226">
        <f t="shared" si="37"/>
        <v>9.0886236257296679E-2</v>
      </c>
      <c r="X86" s="226">
        <f t="shared" si="37"/>
        <v>8.8834545544961577E-2</v>
      </c>
      <c r="Y86" s="226">
        <f t="shared" si="37"/>
        <v>8.6832896069512708E-2</v>
      </c>
      <c r="Z86" s="226">
        <f t="shared" si="37"/>
        <v>8.4880067312977231E-2</v>
      </c>
      <c r="AA86" s="226">
        <f t="shared" si="37"/>
        <v>8.2974868526113341E-2</v>
      </c>
      <c r="AB86" s="226">
        <f t="shared" si="37"/>
        <v>8.1116138002343699E-2</v>
      </c>
      <c r="AC86" s="226">
        <f t="shared" si="37"/>
        <v>7.9302742369397689E-2</v>
      </c>
      <c r="AD86" s="226">
        <f t="shared" si="37"/>
        <v>7.7533575898230858E-2</v>
      </c>
      <c r="AE86" s="226">
        <f t="shared" si="37"/>
        <v>7.5807559828799817E-2</v>
      </c>
      <c r="AF86" s="226">
        <f t="shared" si="37"/>
        <v>7.412364171228171E-2</v>
      </c>
      <c r="AG86" s="226">
        <f t="shared" si="37"/>
        <v>7.248079476933722E-2</v>
      </c>
      <c r="AH86" s="226">
        <f t="shared" si="37"/>
        <v>7.0878017264025525E-2</v>
      </c>
      <c r="AI86" s="226">
        <f t="shared" si="37"/>
        <v>6.9314331892989745E-2</v>
      </c>
      <c r="AJ86" s="226">
        <f t="shared" si="37"/>
        <v>6.7788785189540166E-2</v>
      </c>
      <c r="AK86" s="226">
        <f t="shared" si="37"/>
        <v>6.6300446942272287E-2</v>
      </c>
      <c r="AL86" s="226">
        <f t="shared" si="37"/>
        <v>6.4848409627864631E-2</v>
      </c>
      <c r="AM86" s="226">
        <f t="shared" si="37"/>
        <v>6.3431787857710795E-2</v>
      </c>
      <c r="AN86" s="226">
        <f t="shared" si="37"/>
        <v>6.2049717838048524E-2</v>
      </c>
      <c r="AO86" s="226">
        <f t="shared" si="37"/>
        <v>6.0701356843256074E-2</v>
      </c>
      <c r="AP86" s="226">
        <f t="shared" si="37"/>
        <v>5.9385882701995137E-2</v>
      </c>
      <c r="AQ86" s="226">
        <f t="shared" si="37"/>
        <v>5.810249329588691E-2</v>
      </c>
      <c r="AR86" s="226">
        <f t="shared" si="37"/>
        <v>5.685040607041545E-2</v>
      </c>
      <c r="AS86" s="226">
        <f t="shared" si="37"/>
        <v>5.5628857557760376E-2</v>
      </c>
      <c r="AT86" s="226">
        <f t="shared" si="37"/>
        <v>5.4437102911267632E-2</v>
      </c>
      <c r="AU86" s="226">
        <f t="shared" si="37"/>
        <v>5.1520739041028399E-2</v>
      </c>
      <c r="AV86" s="226">
        <f t="shared" si="37"/>
        <v>6.7669170515574752E-3</v>
      </c>
      <c r="AW86" s="226">
        <f t="shared" si="37"/>
        <v>6.7669170515574752E-3</v>
      </c>
      <c r="AX86" s="226">
        <f t="shared" si="37"/>
        <v>6.7669170515574752E-3</v>
      </c>
      <c r="AY86" s="226">
        <f t="shared" si="37"/>
        <v>6.7669170515574752E-3</v>
      </c>
      <c r="AZ86" s="226">
        <f t="shared" si="37"/>
        <v>6.7669170515574752E-3</v>
      </c>
      <c r="BA86" s="226">
        <f t="shared" si="37"/>
        <v>6.7669170515574752E-3</v>
      </c>
      <c r="BB86" s="226">
        <f t="shared" si="37"/>
        <v>6.7669170515574752E-3</v>
      </c>
      <c r="BC86" s="226">
        <f t="shared" si="37"/>
        <v>6.7669170515574752E-3</v>
      </c>
      <c r="BD86" s="226">
        <f t="shared" si="37"/>
        <v>6.7669170515574752E-3</v>
      </c>
      <c r="BE86" s="226">
        <f t="shared" si="37"/>
        <v>6.7669170515574752E-3</v>
      </c>
      <c r="BF86" s="226">
        <f t="shared" si="37"/>
        <v>6.7669170515574752E-3</v>
      </c>
      <c r="BG86" s="226">
        <f t="shared" si="37"/>
        <v>6.7669170515574752E-3</v>
      </c>
      <c r="BH86" s="226">
        <f t="shared" si="37"/>
        <v>6.7669170515574752E-3</v>
      </c>
      <c r="BI86" s="226">
        <f t="shared" si="37"/>
        <v>6.7669170515574752E-3</v>
      </c>
      <c r="BJ86" s="226">
        <f t="shared" si="37"/>
        <v>6.7669170515574752E-3</v>
      </c>
      <c r="BK86" s="226">
        <f t="shared" si="37"/>
        <v>6.7669170515574752E-3</v>
      </c>
      <c r="BL86" s="226">
        <f t="shared" si="37"/>
        <v>6.7669170515574752E-3</v>
      </c>
      <c r="BM86" s="226">
        <f t="shared" si="37"/>
        <v>6.7669170515574752E-3</v>
      </c>
      <c r="BN86" s="226">
        <f t="shared" si="37"/>
        <v>6.7669170515574752E-3</v>
      </c>
      <c r="BO86" s="226">
        <f t="shared" si="37"/>
        <v>6.7669170515574752E-3</v>
      </c>
    </row>
    <row r="87" spans="1:68" ht="12.75" customHeight="1" x14ac:dyDescent="0.2">
      <c r="A87" s="115">
        <v>21</v>
      </c>
      <c r="C87" s="23" t="s">
        <v>505</v>
      </c>
      <c r="D87" s="23" t="s">
        <v>223</v>
      </c>
      <c r="F87" s="32"/>
      <c r="R87" s="45">
        <f>$E$21</f>
        <v>4.8000000000000001E-2</v>
      </c>
      <c r="S87" s="45">
        <f t="shared" ref="S87:BO87" si="38">$E$21</f>
        <v>4.8000000000000001E-2</v>
      </c>
      <c r="T87" s="45">
        <f t="shared" si="38"/>
        <v>4.8000000000000001E-2</v>
      </c>
      <c r="U87" s="45">
        <f t="shared" si="38"/>
        <v>4.8000000000000001E-2</v>
      </c>
      <c r="V87" s="45">
        <f t="shared" si="38"/>
        <v>4.8000000000000001E-2</v>
      </c>
      <c r="W87" s="45">
        <f t="shared" si="38"/>
        <v>4.8000000000000001E-2</v>
      </c>
      <c r="X87" s="45">
        <f t="shared" si="38"/>
        <v>4.8000000000000001E-2</v>
      </c>
      <c r="Y87" s="45">
        <f t="shared" si="38"/>
        <v>4.8000000000000001E-2</v>
      </c>
      <c r="Z87" s="45">
        <f t="shared" si="38"/>
        <v>4.8000000000000001E-2</v>
      </c>
      <c r="AA87" s="45">
        <f t="shared" si="38"/>
        <v>4.8000000000000001E-2</v>
      </c>
      <c r="AB87" s="45">
        <f t="shared" si="38"/>
        <v>4.8000000000000001E-2</v>
      </c>
      <c r="AC87" s="45">
        <f t="shared" si="38"/>
        <v>4.8000000000000001E-2</v>
      </c>
      <c r="AD87" s="45">
        <f t="shared" si="38"/>
        <v>4.8000000000000001E-2</v>
      </c>
      <c r="AE87" s="45">
        <f t="shared" si="38"/>
        <v>4.8000000000000001E-2</v>
      </c>
      <c r="AF87" s="45">
        <f t="shared" si="38"/>
        <v>4.8000000000000001E-2</v>
      </c>
      <c r="AG87" s="45">
        <f t="shared" si="38"/>
        <v>4.8000000000000001E-2</v>
      </c>
      <c r="AH87" s="45">
        <f t="shared" si="38"/>
        <v>4.8000000000000001E-2</v>
      </c>
      <c r="AI87" s="45">
        <f t="shared" si="38"/>
        <v>4.8000000000000001E-2</v>
      </c>
      <c r="AJ87" s="45">
        <f t="shared" si="38"/>
        <v>4.8000000000000001E-2</v>
      </c>
      <c r="AK87" s="45">
        <f t="shared" si="38"/>
        <v>4.8000000000000001E-2</v>
      </c>
      <c r="AL87" s="45">
        <f t="shared" si="38"/>
        <v>4.8000000000000001E-2</v>
      </c>
      <c r="AM87" s="45">
        <f t="shared" si="38"/>
        <v>4.8000000000000001E-2</v>
      </c>
      <c r="AN87" s="45">
        <f t="shared" si="38"/>
        <v>4.8000000000000001E-2</v>
      </c>
      <c r="AO87" s="45">
        <f t="shared" si="38"/>
        <v>4.8000000000000001E-2</v>
      </c>
      <c r="AP87" s="45">
        <f t="shared" si="38"/>
        <v>4.8000000000000001E-2</v>
      </c>
      <c r="AQ87" s="45">
        <f t="shared" si="38"/>
        <v>4.8000000000000001E-2</v>
      </c>
      <c r="AR87" s="45">
        <f t="shared" si="38"/>
        <v>4.8000000000000001E-2</v>
      </c>
      <c r="AS87" s="45">
        <f t="shared" si="38"/>
        <v>4.8000000000000001E-2</v>
      </c>
      <c r="AT87" s="45">
        <f t="shared" si="38"/>
        <v>4.8000000000000001E-2</v>
      </c>
      <c r="AU87" s="45">
        <f t="shared" si="38"/>
        <v>4.8000000000000001E-2</v>
      </c>
      <c r="AV87" s="45">
        <f t="shared" si="38"/>
        <v>4.8000000000000001E-2</v>
      </c>
      <c r="AW87" s="45">
        <f t="shared" si="38"/>
        <v>4.8000000000000001E-2</v>
      </c>
      <c r="AX87" s="45">
        <f t="shared" si="38"/>
        <v>4.8000000000000001E-2</v>
      </c>
      <c r="AY87" s="45">
        <f t="shared" si="38"/>
        <v>4.8000000000000001E-2</v>
      </c>
      <c r="AZ87" s="45">
        <f t="shared" si="38"/>
        <v>4.8000000000000001E-2</v>
      </c>
      <c r="BA87" s="45">
        <f t="shared" si="38"/>
        <v>4.8000000000000001E-2</v>
      </c>
      <c r="BB87" s="45">
        <f t="shared" si="38"/>
        <v>4.8000000000000001E-2</v>
      </c>
      <c r="BC87" s="45">
        <f t="shared" si="38"/>
        <v>4.8000000000000001E-2</v>
      </c>
      <c r="BD87" s="45">
        <f t="shared" si="38"/>
        <v>4.8000000000000001E-2</v>
      </c>
      <c r="BE87" s="45">
        <f t="shared" si="38"/>
        <v>4.8000000000000001E-2</v>
      </c>
      <c r="BF87" s="45">
        <f t="shared" si="38"/>
        <v>4.8000000000000001E-2</v>
      </c>
      <c r="BG87" s="45">
        <f t="shared" si="38"/>
        <v>4.8000000000000001E-2</v>
      </c>
      <c r="BH87" s="45">
        <f t="shared" si="38"/>
        <v>4.8000000000000001E-2</v>
      </c>
      <c r="BI87" s="45">
        <f t="shared" si="38"/>
        <v>4.8000000000000001E-2</v>
      </c>
      <c r="BJ87" s="45">
        <f t="shared" si="38"/>
        <v>4.8000000000000001E-2</v>
      </c>
      <c r="BK87" s="45">
        <f t="shared" si="38"/>
        <v>4.8000000000000001E-2</v>
      </c>
      <c r="BL87" s="45">
        <f t="shared" si="38"/>
        <v>4.8000000000000001E-2</v>
      </c>
      <c r="BM87" s="45">
        <f t="shared" si="38"/>
        <v>4.8000000000000001E-2</v>
      </c>
      <c r="BN87" s="45">
        <f t="shared" si="38"/>
        <v>4.8000000000000001E-2</v>
      </c>
      <c r="BO87" s="45">
        <f t="shared" si="38"/>
        <v>4.8000000000000001E-2</v>
      </c>
    </row>
    <row r="88" spans="1:68" ht="12.75" customHeight="1" x14ac:dyDescent="0.2">
      <c r="A88" s="115">
        <v>22</v>
      </c>
      <c r="B88" s="28" t="s">
        <v>506</v>
      </c>
      <c r="D88" s="23" t="s">
        <v>223</v>
      </c>
      <c r="F88" s="32"/>
      <c r="R88" s="226">
        <f>R86+R87</f>
        <v>0.14994020566369887</v>
      </c>
      <c r="S88" s="226">
        <f t="shared" ref="S88:BO88" si="39">S86+S87</f>
        <v>0.14761890594145152</v>
      </c>
      <c r="T88" s="226">
        <f t="shared" si="39"/>
        <v>0.14535422328560046</v>
      </c>
      <c r="U88" s="226">
        <f t="shared" si="39"/>
        <v>0.1431447767920872</v>
      </c>
      <c r="V88" s="226">
        <f t="shared" si="39"/>
        <v>0.14098921923744015</v>
      </c>
      <c r="W88" s="226">
        <f t="shared" si="39"/>
        <v>0.13888623625729668</v>
      </c>
      <c r="X88" s="226">
        <f t="shared" si="39"/>
        <v>0.13683454554496158</v>
      </c>
      <c r="Y88" s="226">
        <f t="shared" si="39"/>
        <v>0.13483289606951271</v>
      </c>
      <c r="Z88" s="226">
        <f t="shared" si="39"/>
        <v>0.13288006731297725</v>
      </c>
      <c r="AA88" s="226">
        <f t="shared" si="39"/>
        <v>0.13097486852611334</v>
      </c>
      <c r="AB88" s="226">
        <f t="shared" si="39"/>
        <v>0.1291161380023437</v>
      </c>
      <c r="AC88" s="226">
        <f t="shared" si="39"/>
        <v>0.1273027423693977</v>
      </c>
      <c r="AD88" s="226">
        <f t="shared" si="39"/>
        <v>0.12553357589823086</v>
      </c>
      <c r="AE88" s="226">
        <f t="shared" si="39"/>
        <v>0.12380755982879982</v>
      </c>
      <c r="AF88" s="226">
        <f t="shared" si="39"/>
        <v>0.12212364171228171</v>
      </c>
      <c r="AG88" s="226">
        <f t="shared" si="39"/>
        <v>0.12048079476933722</v>
      </c>
      <c r="AH88" s="226">
        <f t="shared" si="39"/>
        <v>0.11887801726402553</v>
      </c>
      <c r="AI88" s="226">
        <f t="shared" si="39"/>
        <v>0.11731433189298975</v>
      </c>
      <c r="AJ88" s="226">
        <f t="shared" si="39"/>
        <v>0.11578878518954017</v>
      </c>
      <c r="AK88" s="226">
        <f t="shared" si="39"/>
        <v>0.11430044694227229</v>
      </c>
      <c r="AL88" s="226">
        <f t="shared" si="39"/>
        <v>0.11284840962786463</v>
      </c>
      <c r="AM88" s="226">
        <f t="shared" si="39"/>
        <v>0.1114317878577108</v>
      </c>
      <c r="AN88" s="226">
        <f t="shared" si="39"/>
        <v>0.11004971783804852</v>
      </c>
      <c r="AO88" s="226">
        <f t="shared" si="39"/>
        <v>0.10870135684325608</v>
      </c>
      <c r="AP88" s="226">
        <f t="shared" si="39"/>
        <v>0.10738588270199514</v>
      </c>
      <c r="AQ88" s="226">
        <f t="shared" si="39"/>
        <v>0.10610249329588692</v>
      </c>
      <c r="AR88" s="226">
        <f t="shared" si="39"/>
        <v>0.10485040607041546</v>
      </c>
      <c r="AS88" s="226">
        <f t="shared" si="39"/>
        <v>0.10362885755776038</v>
      </c>
      <c r="AT88" s="226">
        <f t="shared" si="39"/>
        <v>0.10243710291126763</v>
      </c>
      <c r="AU88" s="226">
        <f t="shared" si="39"/>
        <v>9.95207390410284E-2</v>
      </c>
      <c r="AV88" s="226">
        <f t="shared" si="39"/>
        <v>5.4766917051557479E-2</v>
      </c>
      <c r="AW88" s="226">
        <f t="shared" si="39"/>
        <v>5.4766917051557479E-2</v>
      </c>
      <c r="AX88" s="226">
        <f t="shared" si="39"/>
        <v>5.4766917051557479E-2</v>
      </c>
      <c r="AY88" s="226">
        <f t="shared" si="39"/>
        <v>5.4766917051557479E-2</v>
      </c>
      <c r="AZ88" s="226">
        <f t="shared" si="39"/>
        <v>5.4766917051557479E-2</v>
      </c>
      <c r="BA88" s="226">
        <f t="shared" si="39"/>
        <v>5.4766917051557479E-2</v>
      </c>
      <c r="BB88" s="226">
        <f t="shared" si="39"/>
        <v>5.4766917051557479E-2</v>
      </c>
      <c r="BC88" s="226">
        <f t="shared" si="39"/>
        <v>5.4766917051557479E-2</v>
      </c>
      <c r="BD88" s="226">
        <f t="shared" si="39"/>
        <v>5.4766917051557479E-2</v>
      </c>
      <c r="BE88" s="226">
        <f t="shared" si="39"/>
        <v>5.4766917051557479E-2</v>
      </c>
      <c r="BF88" s="226">
        <f t="shared" si="39"/>
        <v>5.4766917051557479E-2</v>
      </c>
      <c r="BG88" s="226">
        <f t="shared" si="39"/>
        <v>5.4766917051557479E-2</v>
      </c>
      <c r="BH88" s="226">
        <f t="shared" si="39"/>
        <v>5.4766917051557479E-2</v>
      </c>
      <c r="BI88" s="226">
        <f t="shared" si="39"/>
        <v>5.4766917051557479E-2</v>
      </c>
      <c r="BJ88" s="226">
        <f t="shared" si="39"/>
        <v>5.4766917051557479E-2</v>
      </c>
      <c r="BK88" s="226">
        <f t="shared" si="39"/>
        <v>5.4766917051557479E-2</v>
      </c>
      <c r="BL88" s="226">
        <f t="shared" si="39"/>
        <v>5.4766917051557479E-2</v>
      </c>
      <c r="BM88" s="226">
        <f t="shared" si="39"/>
        <v>5.4766917051557479E-2</v>
      </c>
      <c r="BN88" s="226">
        <f t="shared" si="39"/>
        <v>5.4766917051557479E-2</v>
      </c>
      <c r="BO88" s="226">
        <f t="shared" si="39"/>
        <v>5.4766917051557479E-2</v>
      </c>
    </row>
    <row r="89" spans="1:68" ht="12.75" customHeight="1" x14ac:dyDescent="0.2">
      <c r="A89" s="115"/>
      <c r="F89" s="32"/>
    </row>
    <row r="90" spans="1:68" ht="12.75" customHeight="1" x14ac:dyDescent="0.2">
      <c r="C90" s="27"/>
      <c r="D90" s="2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</row>
    <row r="91" spans="1:68" ht="12.75" customHeight="1" x14ac:dyDescent="0.2">
      <c r="B91" s="17" t="s">
        <v>484</v>
      </c>
      <c r="F91" s="32"/>
      <c r="P91" s="23" t="s">
        <v>41</v>
      </c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</row>
    <row r="92" spans="1:68" ht="12.75" customHeight="1" x14ac:dyDescent="0.2">
      <c r="A92" s="115"/>
      <c r="B92" s="16"/>
      <c r="C92" s="23" t="s">
        <v>28</v>
      </c>
      <c r="D92" s="27" t="s">
        <v>491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61">
        <f>R92*1000000/$R$145</f>
        <v>2.1699381351874125</v>
      </c>
      <c r="Q92" s="35"/>
      <c r="R92" s="69">
        <f>Q60</f>
        <v>5.7720356457426396</v>
      </c>
      <c r="S92" s="69">
        <f t="shared" ref="S92:AU92" si="40">R98</f>
        <v>5.6691196779760213</v>
      </c>
      <c r="T92" s="69">
        <f t="shared" si="40"/>
        <v>5.5620870714987385</v>
      </c>
      <c r="U92" s="69">
        <f t="shared" si="40"/>
        <v>5.4507731607623642</v>
      </c>
      <c r="V92" s="69">
        <f t="shared" si="40"/>
        <v>5.3350066935965348</v>
      </c>
      <c r="W92" s="69">
        <f t="shared" si="40"/>
        <v>5.2146095677440725</v>
      </c>
      <c r="X92" s="69">
        <f t="shared" si="40"/>
        <v>5.0893965568575119</v>
      </c>
      <c r="Y92" s="69">
        <f t="shared" si="40"/>
        <v>4.9591750255354885</v>
      </c>
      <c r="Z92" s="69">
        <f t="shared" si="40"/>
        <v>4.823744632960584</v>
      </c>
      <c r="AA92" s="69">
        <f t="shared" si="40"/>
        <v>4.6828970246826831</v>
      </c>
      <c r="AB92" s="69">
        <f t="shared" si="40"/>
        <v>4.5364155120736669</v>
      </c>
      <c r="AC92" s="69">
        <f t="shared" si="40"/>
        <v>4.3840747389602894</v>
      </c>
      <c r="AD92" s="69">
        <f t="shared" si="40"/>
        <v>4.2256403349223772</v>
      </c>
      <c r="AE92" s="69">
        <f t="shared" si="40"/>
        <v>4.0608685547229486</v>
      </c>
      <c r="AF92" s="69">
        <f t="shared" si="40"/>
        <v>3.8895059033155426</v>
      </c>
      <c r="AG92" s="69">
        <f t="shared" si="40"/>
        <v>3.7112887458518404</v>
      </c>
      <c r="AH92" s="69">
        <f t="shared" si="40"/>
        <v>3.5259429020895903</v>
      </c>
      <c r="AI92" s="69">
        <f t="shared" si="40"/>
        <v>3.33318322457685</v>
      </c>
      <c r="AJ92" s="69">
        <f t="shared" si="40"/>
        <v>3.1327131599636</v>
      </c>
      <c r="AK92" s="69">
        <f t="shared" si="40"/>
        <v>2.9242242927658202</v>
      </c>
      <c r="AL92" s="69">
        <f t="shared" si="40"/>
        <v>2.7073958708801293</v>
      </c>
      <c r="AM92" s="69">
        <f t="shared" si="40"/>
        <v>2.4818943121190107</v>
      </c>
      <c r="AN92" s="69">
        <f t="shared" si="40"/>
        <v>2.2473726910074472</v>
      </c>
      <c r="AO92" s="69">
        <f t="shared" si="40"/>
        <v>2.0034702050514213</v>
      </c>
      <c r="AP92" s="69">
        <f t="shared" si="40"/>
        <v>1.7498116196571543</v>
      </c>
      <c r="AQ92" s="69">
        <f t="shared" si="40"/>
        <v>1.4860066908471166</v>
      </c>
      <c r="AR92" s="69">
        <f t="shared" si="40"/>
        <v>1.2116495648846775</v>
      </c>
      <c r="AS92" s="69">
        <f t="shared" si="40"/>
        <v>0.92631815388374072</v>
      </c>
      <c r="AT92" s="69">
        <f t="shared" si="40"/>
        <v>0.62957348644276656</v>
      </c>
      <c r="AU92" s="69">
        <f t="shared" si="40"/>
        <v>0.3209590323041534</v>
      </c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</row>
    <row r="93" spans="1:68" ht="12.75" customHeight="1" x14ac:dyDescent="0.2">
      <c r="A93" s="115"/>
      <c r="B93" s="16"/>
      <c r="C93" s="23" t="s">
        <v>38</v>
      </c>
      <c r="D93" s="27" t="s">
        <v>491</v>
      </c>
      <c r="F93" s="47"/>
      <c r="G93" s="35"/>
      <c r="H93" s="35"/>
      <c r="I93" s="35"/>
      <c r="J93" s="35"/>
      <c r="K93" s="35"/>
      <c r="L93" s="35"/>
      <c r="M93" s="35"/>
      <c r="N93" s="35"/>
      <c r="O93" s="35"/>
      <c r="P93" s="61">
        <f>R93*1000000/$R$145</f>
        <v>0.12548773747180031</v>
      </c>
      <c r="Q93" s="35"/>
      <c r="R93" s="70">
        <f>MIN(R92,-PMT($E$12,$E$13,R92))</f>
        <v>0.33379739359632382</v>
      </c>
      <c r="S93" s="70">
        <f>MIN(S92,R93)</f>
        <v>0.33379739359632382</v>
      </c>
      <c r="T93" s="70">
        <f t="shared" ref="T93:AU93" si="41">MIN(T92,S93)</f>
        <v>0.33379739359632382</v>
      </c>
      <c r="U93" s="70">
        <f t="shared" si="41"/>
        <v>0.33379739359632382</v>
      </c>
      <c r="V93" s="70">
        <f t="shared" si="41"/>
        <v>0.33379739359632382</v>
      </c>
      <c r="W93" s="70">
        <f t="shared" si="41"/>
        <v>0.33379739359632382</v>
      </c>
      <c r="X93" s="70">
        <f t="shared" si="41"/>
        <v>0.33379739359632382</v>
      </c>
      <c r="Y93" s="70">
        <f t="shared" si="41"/>
        <v>0.33379739359632382</v>
      </c>
      <c r="Z93" s="70">
        <f t="shared" si="41"/>
        <v>0.33379739359632382</v>
      </c>
      <c r="AA93" s="70">
        <f t="shared" si="41"/>
        <v>0.33379739359632382</v>
      </c>
      <c r="AB93" s="70">
        <f t="shared" si="41"/>
        <v>0.33379739359632382</v>
      </c>
      <c r="AC93" s="70">
        <f t="shared" si="41"/>
        <v>0.33379739359632382</v>
      </c>
      <c r="AD93" s="70">
        <f t="shared" si="41"/>
        <v>0.33379739359632382</v>
      </c>
      <c r="AE93" s="70">
        <f t="shared" si="41"/>
        <v>0.33379739359632382</v>
      </c>
      <c r="AF93" s="70">
        <f t="shared" si="41"/>
        <v>0.33379739359632382</v>
      </c>
      <c r="AG93" s="70">
        <f t="shared" si="41"/>
        <v>0.33379739359632382</v>
      </c>
      <c r="AH93" s="70">
        <f t="shared" si="41"/>
        <v>0.33379739359632382</v>
      </c>
      <c r="AI93" s="70">
        <f t="shared" si="41"/>
        <v>0.33379739359632382</v>
      </c>
      <c r="AJ93" s="70">
        <f t="shared" si="41"/>
        <v>0.33379739359632382</v>
      </c>
      <c r="AK93" s="70">
        <f t="shared" si="41"/>
        <v>0.33379739359632382</v>
      </c>
      <c r="AL93" s="70">
        <f t="shared" si="41"/>
        <v>0.33379739359632382</v>
      </c>
      <c r="AM93" s="70">
        <f t="shared" si="41"/>
        <v>0.33379739359632382</v>
      </c>
      <c r="AN93" s="70">
        <f t="shared" si="41"/>
        <v>0.33379739359632382</v>
      </c>
      <c r="AO93" s="70">
        <f t="shared" si="41"/>
        <v>0.33379739359632382</v>
      </c>
      <c r="AP93" s="70">
        <f t="shared" si="41"/>
        <v>0.33379739359632382</v>
      </c>
      <c r="AQ93" s="70">
        <f t="shared" si="41"/>
        <v>0.33379739359632382</v>
      </c>
      <c r="AR93" s="70">
        <f t="shared" si="41"/>
        <v>0.33379739359632382</v>
      </c>
      <c r="AS93" s="70">
        <f t="shared" si="41"/>
        <v>0.33379739359632382</v>
      </c>
      <c r="AT93" s="70">
        <f t="shared" si="41"/>
        <v>0.33379739359632382</v>
      </c>
      <c r="AU93" s="70">
        <f t="shared" si="41"/>
        <v>0.3209590323041534</v>
      </c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</row>
    <row r="94" spans="1:68" ht="12.75" customHeight="1" x14ac:dyDescent="0.2">
      <c r="A94" s="115"/>
      <c r="B94" s="16"/>
      <c r="C94" s="38" t="s">
        <v>15</v>
      </c>
      <c r="D94" s="27" t="s">
        <v>491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69">
        <f t="shared" ref="R94:AU94" si="42">R92*$E$12</f>
        <v>0.23088142582970558</v>
      </c>
      <c r="S94" s="69">
        <f t="shared" si="42"/>
        <v>0.22676478711904086</v>
      </c>
      <c r="T94" s="69">
        <f t="shared" si="42"/>
        <v>0.22248348285994954</v>
      </c>
      <c r="U94" s="69">
        <f t="shared" si="42"/>
        <v>0.21803092643049457</v>
      </c>
      <c r="V94" s="69">
        <f t="shared" si="42"/>
        <v>0.21340026774386139</v>
      </c>
      <c r="W94" s="69">
        <f t="shared" si="42"/>
        <v>0.2085843827097629</v>
      </c>
      <c r="X94" s="69">
        <f t="shared" si="42"/>
        <v>0.20357586227430047</v>
      </c>
      <c r="Y94" s="69">
        <f t="shared" si="42"/>
        <v>0.19836700102141955</v>
      </c>
      <c r="Z94" s="69">
        <f t="shared" si="42"/>
        <v>0.19294978531842336</v>
      </c>
      <c r="AA94" s="69">
        <f t="shared" si="42"/>
        <v>0.18731588098730734</v>
      </c>
      <c r="AB94" s="69">
        <f t="shared" si="42"/>
        <v>0.18145662048294667</v>
      </c>
      <c r="AC94" s="69">
        <f t="shared" si="42"/>
        <v>0.17536298955841159</v>
      </c>
      <c r="AD94" s="69">
        <f t="shared" si="42"/>
        <v>0.16902561339689509</v>
      </c>
      <c r="AE94" s="69">
        <f t="shared" si="42"/>
        <v>0.16243474218891796</v>
      </c>
      <c r="AF94" s="69">
        <f t="shared" si="42"/>
        <v>0.1555802361326217</v>
      </c>
      <c r="AG94" s="69">
        <f t="shared" si="42"/>
        <v>0.14845154983407363</v>
      </c>
      <c r="AH94" s="69">
        <f t="shared" si="42"/>
        <v>0.14103771608358362</v>
      </c>
      <c r="AI94" s="69">
        <f t="shared" si="42"/>
        <v>0.13332732898307401</v>
      </c>
      <c r="AJ94" s="69">
        <f t="shared" si="42"/>
        <v>0.12530852639854401</v>
      </c>
      <c r="AK94" s="69">
        <f t="shared" si="42"/>
        <v>0.11696897171063281</v>
      </c>
      <c r="AL94" s="69">
        <f t="shared" si="42"/>
        <v>0.10829583483520518</v>
      </c>
      <c r="AM94" s="69">
        <f t="shared" si="42"/>
        <v>9.9275772484760424E-2</v>
      </c>
      <c r="AN94" s="69">
        <f t="shared" si="42"/>
        <v>8.9894907640297894E-2</v>
      </c>
      <c r="AO94" s="69">
        <f t="shared" si="42"/>
        <v>8.0138808202056849E-2</v>
      </c>
      <c r="AP94" s="69">
        <f t="shared" si="42"/>
        <v>6.9992464786286165E-2</v>
      </c>
      <c r="AQ94" s="69">
        <f t="shared" si="42"/>
        <v>5.9440267633884665E-2</v>
      </c>
      <c r="AR94" s="69">
        <f t="shared" si="42"/>
        <v>4.8465982595387098E-2</v>
      </c>
      <c r="AS94" s="69">
        <f t="shared" si="42"/>
        <v>3.705272615534963E-2</v>
      </c>
      <c r="AT94" s="69">
        <f t="shared" si="42"/>
        <v>2.5182939457710662E-2</v>
      </c>
      <c r="AU94" s="69">
        <f t="shared" si="42"/>
        <v>1.2838361292166136E-2</v>
      </c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</row>
    <row r="95" spans="1:68" ht="12.75" customHeight="1" x14ac:dyDescent="0.2">
      <c r="A95" s="115"/>
      <c r="C95" s="38" t="s">
        <v>228</v>
      </c>
      <c r="D95" s="27" t="s">
        <v>491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69">
        <f t="shared" ref="R95:AU95" si="43">R93-R94</f>
        <v>0.10291596776661824</v>
      </c>
      <c r="S95" s="69">
        <f t="shared" si="43"/>
        <v>0.10703260647728297</v>
      </c>
      <c r="T95" s="69">
        <f t="shared" si="43"/>
        <v>0.11131391073637428</v>
      </c>
      <c r="U95" s="69">
        <f t="shared" si="43"/>
        <v>0.11576646716582925</v>
      </c>
      <c r="V95" s="69">
        <f t="shared" si="43"/>
        <v>0.12039712585246243</v>
      </c>
      <c r="W95" s="69">
        <f t="shared" si="43"/>
        <v>0.12521301088656092</v>
      </c>
      <c r="X95" s="69">
        <f t="shared" si="43"/>
        <v>0.13022153132202335</v>
      </c>
      <c r="Y95" s="69">
        <f t="shared" si="43"/>
        <v>0.13543039257490427</v>
      </c>
      <c r="Z95" s="69">
        <f t="shared" si="43"/>
        <v>0.14084760827790047</v>
      </c>
      <c r="AA95" s="69">
        <f t="shared" si="43"/>
        <v>0.14648151260901648</v>
      </c>
      <c r="AB95" s="69">
        <f t="shared" si="43"/>
        <v>0.15234077311337715</v>
      </c>
      <c r="AC95" s="69">
        <f t="shared" si="43"/>
        <v>0.15843440403791223</v>
      </c>
      <c r="AD95" s="69">
        <f t="shared" si="43"/>
        <v>0.16477178019942873</v>
      </c>
      <c r="AE95" s="69">
        <f t="shared" si="43"/>
        <v>0.17136265140740586</v>
      </c>
      <c r="AF95" s="69">
        <f t="shared" si="43"/>
        <v>0.17821715746370212</v>
      </c>
      <c r="AG95" s="69">
        <f t="shared" si="43"/>
        <v>0.18534584376225019</v>
      </c>
      <c r="AH95" s="69">
        <f t="shared" si="43"/>
        <v>0.1927596775127402</v>
      </c>
      <c r="AI95" s="69">
        <f t="shared" si="43"/>
        <v>0.20047006461324982</v>
      </c>
      <c r="AJ95" s="69">
        <f t="shared" si="43"/>
        <v>0.20848886719777981</v>
      </c>
      <c r="AK95" s="69">
        <f t="shared" si="43"/>
        <v>0.21682842188569101</v>
      </c>
      <c r="AL95" s="69">
        <f t="shared" si="43"/>
        <v>0.22550155876111866</v>
      </c>
      <c r="AM95" s="69">
        <f t="shared" si="43"/>
        <v>0.23452162111156338</v>
      </c>
      <c r="AN95" s="69">
        <f t="shared" si="43"/>
        <v>0.24390248595602593</v>
      </c>
      <c r="AO95" s="69">
        <f t="shared" si="43"/>
        <v>0.253658585394267</v>
      </c>
      <c r="AP95" s="69">
        <f t="shared" si="43"/>
        <v>0.26380492881003764</v>
      </c>
      <c r="AQ95" s="69">
        <f t="shared" si="43"/>
        <v>0.27435712596243916</v>
      </c>
      <c r="AR95" s="69">
        <f t="shared" si="43"/>
        <v>0.28533141100093673</v>
      </c>
      <c r="AS95" s="69">
        <f t="shared" si="43"/>
        <v>0.29674466744097416</v>
      </c>
      <c r="AT95" s="69">
        <f t="shared" si="43"/>
        <v>0.30861445413861316</v>
      </c>
      <c r="AU95" s="69">
        <f t="shared" si="43"/>
        <v>0.30812067101198726</v>
      </c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</row>
    <row r="96" spans="1:68" ht="12.75" customHeight="1" x14ac:dyDescent="0.2">
      <c r="A96" s="115"/>
      <c r="C96" s="23" t="s">
        <v>534</v>
      </c>
      <c r="D96" s="27" t="s">
        <v>491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69">
        <f>R92-R95</f>
        <v>5.6691196779760213</v>
      </c>
      <c r="S96" s="69">
        <f t="shared" ref="S96:AU96" si="44">S92-S95</f>
        <v>5.5620870714987385</v>
      </c>
      <c r="T96" s="69">
        <f t="shared" si="44"/>
        <v>5.4507731607623642</v>
      </c>
      <c r="U96" s="69">
        <f t="shared" si="44"/>
        <v>5.3350066935965348</v>
      </c>
      <c r="V96" s="69">
        <f t="shared" si="44"/>
        <v>5.2146095677440725</v>
      </c>
      <c r="W96" s="69">
        <f t="shared" si="44"/>
        <v>5.0893965568575119</v>
      </c>
      <c r="X96" s="69">
        <f t="shared" si="44"/>
        <v>4.9591750255354885</v>
      </c>
      <c r="Y96" s="69">
        <f t="shared" si="44"/>
        <v>4.823744632960584</v>
      </c>
      <c r="Z96" s="69">
        <f t="shared" si="44"/>
        <v>4.6828970246826831</v>
      </c>
      <c r="AA96" s="69">
        <f t="shared" si="44"/>
        <v>4.5364155120736669</v>
      </c>
      <c r="AB96" s="69">
        <f t="shared" si="44"/>
        <v>4.3840747389602894</v>
      </c>
      <c r="AC96" s="69">
        <f t="shared" si="44"/>
        <v>4.2256403349223772</v>
      </c>
      <c r="AD96" s="69">
        <f t="shared" si="44"/>
        <v>4.0608685547229486</v>
      </c>
      <c r="AE96" s="69">
        <f t="shared" si="44"/>
        <v>3.8895059033155426</v>
      </c>
      <c r="AF96" s="69">
        <f t="shared" si="44"/>
        <v>3.7112887458518404</v>
      </c>
      <c r="AG96" s="69">
        <f t="shared" si="44"/>
        <v>3.5259429020895903</v>
      </c>
      <c r="AH96" s="69">
        <f t="shared" si="44"/>
        <v>3.33318322457685</v>
      </c>
      <c r="AI96" s="69">
        <f t="shared" si="44"/>
        <v>3.1327131599636</v>
      </c>
      <c r="AJ96" s="69">
        <f t="shared" si="44"/>
        <v>2.9242242927658202</v>
      </c>
      <c r="AK96" s="69">
        <f t="shared" si="44"/>
        <v>2.7073958708801293</v>
      </c>
      <c r="AL96" s="69">
        <f t="shared" si="44"/>
        <v>2.4818943121190107</v>
      </c>
      <c r="AM96" s="69">
        <f t="shared" si="44"/>
        <v>2.2473726910074472</v>
      </c>
      <c r="AN96" s="69">
        <f t="shared" si="44"/>
        <v>2.0034702050514213</v>
      </c>
      <c r="AO96" s="69">
        <f t="shared" si="44"/>
        <v>1.7498116196571543</v>
      </c>
      <c r="AP96" s="69">
        <f t="shared" si="44"/>
        <v>1.4860066908471166</v>
      </c>
      <c r="AQ96" s="69">
        <f t="shared" si="44"/>
        <v>1.2116495648846775</v>
      </c>
      <c r="AR96" s="69">
        <f t="shared" si="44"/>
        <v>0.92631815388374072</v>
      </c>
      <c r="AS96" s="69">
        <f t="shared" si="44"/>
        <v>0.62957348644276656</v>
      </c>
      <c r="AT96" s="69">
        <f t="shared" si="44"/>
        <v>0.3209590323041534</v>
      </c>
      <c r="AU96" s="69">
        <f t="shared" si="44"/>
        <v>1.2838361292166145E-2</v>
      </c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</row>
    <row r="97" spans="1:68" ht="12.75" customHeight="1" x14ac:dyDescent="0.2">
      <c r="A97" s="115"/>
      <c r="C97" s="38" t="s">
        <v>527</v>
      </c>
      <c r="D97" s="27" t="s">
        <v>491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69">
        <f>R112</f>
        <v>0</v>
      </c>
      <c r="S97" s="69">
        <f t="shared" ref="S97:AU97" si="45">S112</f>
        <v>0</v>
      </c>
      <c r="T97" s="69">
        <f t="shared" si="45"/>
        <v>0</v>
      </c>
      <c r="U97" s="69">
        <f t="shared" si="45"/>
        <v>0</v>
      </c>
      <c r="V97" s="69">
        <f t="shared" si="45"/>
        <v>0</v>
      </c>
      <c r="W97" s="69">
        <f t="shared" si="45"/>
        <v>0</v>
      </c>
      <c r="X97" s="69">
        <f t="shared" si="45"/>
        <v>0</v>
      </c>
      <c r="Y97" s="69">
        <f t="shared" si="45"/>
        <v>0</v>
      </c>
      <c r="Z97" s="69">
        <f t="shared" si="45"/>
        <v>0</v>
      </c>
      <c r="AA97" s="69">
        <f t="shared" si="45"/>
        <v>0</v>
      </c>
      <c r="AB97" s="69">
        <f t="shared" si="45"/>
        <v>0</v>
      </c>
      <c r="AC97" s="69">
        <f t="shared" si="45"/>
        <v>0</v>
      </c>
      <c r="AD97" s="69">
        <f t="shared" si="45"/>
        <v>0</v>
      </c>
      <c r="AE97" s="69">
        <f t="shared" si="45"/>
        <v>0</v>
      </c>
      <c r="AF97" s="69">
        <f t="shared" si="45"/>
        <v>0</v>
      </c>
      <c r="AG97" s="69">
        <f t="shared" si="45"/>
        <v>0</v>
      </c>
      <c r="AH97" s="69">
        <f t="shared" si="45"/>
        <v>0</v>
      </c>
      <c r="AI97" s="69">
        <f t="shared" si="45"/>
        <v>0</v>
      </c>
      <c r="AJ97" s="69">
        <f t="shared" si="45"/>
        <v>0</v>
      </c>
      <c r="AK97" s="69">
        <f t="shared" si="45"/>
        <v>0</v>
      </c>
      <c r="AL97" s="69">
        <f t="shared" si="45"/>
        <v>0</v>
      </c>
      <c r="AM97" s="69">
        <f t="shared" si="45"/>
        <v>0</v>
      </c>
      <c r="AN97" s="69">
        <f t="shared" si="45"/>
        <v>0</v>
      </c>
      <c r="AO97" s="69">
        <f t="shared" si="45"/>
        <v>0</v>
      </c>
      <c r="AP97" s="69">
        <f t="shared" si="45"/>
        <v>0</v>
      </c>
      <c r="AQ97" s="69">
        <f t="shared" si="45"/>
        <v>0</v>
      </c>
      <c r="AR97" s="69">
        <f t="shared" si="45"/>
        <v>0</v>
      </c>
      <c r="AS97" s="69">
        <f t="shared" si="45"/>
        <v>0</v>
      </c>
      <c r="AT97" s="69">
        <f t="shared" si="45"/>
        <v>0</v>
      </c>
      <c r="AU97" s="69">
        <f t="shared" si="45"/>
        <v>0</v>
      </c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</row>
    <row r="98" spans="1:68" ht="12.75" customHeight="1" x14ac:dyDescent="0.2">
      <c r="A98" s="115"/>
      <c r="C98" s="23" t="s">
        <v>29</v>
      </c>
      <c r="D98" s="27" t="s">
        <v>491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69">
        <f>R96-R97</f>
        <v>5.6691196779760213</v>
      </c>
      <c r="S98" s="69">
        <f t="shared" ref="S98:AU98" si="46">S96-S97</f>
        <v>5.5620870714987385</v>
      </c>
      <c r="T98" s="69">
        <f t="shared" si="46"/>
        <v>5.4507731607623642</v>
      </c>
      <c r="U98" s="69">
        <f t="shared" si="46"/>
        <v>5.3350066935965348</v>
      </c>
      <c r="V98" s="69">
        <f t="shared" si="46"/>
        <v>5.2146095677440725</v>
      </c>
      <c r="W98" s="69">
        <f t="shared" si="46"/>
        <v>5.0893965568575119</v>
      </c>
      <c r="X98" s="69">
        <f t="shared" si="46"/>
        <v>4.9591750255354885</v>
      </c>
      <c r="Y98" s="69">
        <f t="shared" si="46"/>
        <v>4.823744632960584</v>
      </c>
      <c r="Z98" s="69">
        <f t="shared" si="46"/>
        <v>4.6828970246826831</v>
      </c>
      <c r="AA98" s="69">
        <f t="shared" si="46"/>
        <v>4.5364155120736669</v>
      </c>
      <c r="AB98" s="69">
        <f t="shared" si="46"/>
        <v>4.3840747389602894</v>
      </c>
      <c r="AC98" s="69">
        <f t="shared" si="46"/>
        <v>4.2256403349223772</v>
      </c>
      <c r="AD98" s="69">
        <f t="shared" si="46"/>
        <v>4.0608685547229486</v>
      </c>
      <c r="AE98" s="69">
        <f t="shared" si="46"/>
        <v>3.8895059033155426</v>
      </c>
      <c r="AF98" s="69">
        <f t="shared" si="46"/>
        <v>3.7112887458518404</v>
      </c>
      <c r="AG98" s="69">
        <f t="shared" si="46"/>
        <v>3.5259429020895903</v>
      </c>
      <c r="AH98" s="69">
        <f t="shared" si="46"/>
        <v>3.33318322457685</v>
      </c>
      <c r="AI98" s="69">
        <f t="shared" si="46"/>
        <v>3.1327131599636</v>
      </c>
      <c r="AJ98" s="69">
        <f t="shared" si="46"/>
        <v>2.9242242927658202</v>
      </c>
      <c r="AK98" s="69">
        <f t="shared" si="46"/>
        <v>2.7073958708801293</v>
      </c>
      <c r="AL98" s="69">
        <f t="shared" si="46"/>
        <v>2.4818943121190107</v>
      </c>
      <c r="AM98" s="69">
        <f t="shared" si="46"/>
        <v>2.2473726910074472</v>
      </c>
      <c r="AN98" s="69">
        <f t="shared" si="46"/>
        <v>2.0034702050514213</v>
      </c>
      <c r="AO98" s="69">
        <f t="shared" si="46"/>
        <v>1.7498116196571543</v>
      </c>
      <c r="AP98" s="69">
        <f t="shared" si="46"/>
        <v>1.4860066908471166</v>
      </c>
      <c r="AQ98" s="69">
        <f t="shared" si="46"/>
        <v>1.2116495648846775</v>
      </c>
      <c r="AR98" s="69">
        <f t="shared" si="46"/>
        <v>0.92631815388374072</v>
      </c>
      <c r="AS98" s="69">
        <f t="shared" si="46"/>
        <v>0.62957348644276656</v>
      </c>
      <c r="AT98" s="69">
        <f t="shared" si="46"/>
        <v>0.3209590323041534</v>
      </c>
      <c r="AU98" s="69">
        <f t="shared" si="46"/>
        <v>1.2838361292166145E-2</v>
      </c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</row>
    <row r="99" spans="1:68" ht="12.75" customHeight="1" x14ac:dyDescent="0.2">
      <c r="A99" s="11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</row>
    <row r="100" spans="1:68" ht="12.75" customHeight="1" x14ac:dyDescent="0.2">
      <c r="B100" s="28" t="s">
        <v>508</v>
      </c>
      <c r="C100" s="27"/>
      <c r="D100" s="2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</row>
    <row r="101" spans="1:68" ht="12.75" customHeight="1" x14ac:dyDescent="0.2">
      <c r="C101" s="27" t="s">
        <v>234</v>
      </c>
      <c r="D101" s="27" t="s">
        <v>491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27">
        <f>Q61</f>
        <v>0.33379739359632382</v>
      </c>
      <c r="S101" s="58">
        <f>R103</f>
        <v>0.33379739359632382</v>
      </c>
      <c r="T101" s="58">
        <f t="shared" ref="T101:AU101" si="47">S103</f>
        <v>0.33379739359632382</v>
      </c>
      <c r="U101" s="58">
        <f t="shared" si="47"/>
        <v>0.33379739359632382</v>
      </c>
      <c r="V101" s="58">
        <f t="shared" si="47"/>
        <v>0.33379739359632382</v>
      </c>
      <c r="W101" s="58">
        <f t="shared" si="47"/>
        <v>0.33379739359632382</v>
      </c>
      <c r="X101" s="58">
        <f t="shared" si="47"/>
        <v>0.33379739359632382</v>
      </c>
      <c r="Y101" s="58">
        <f t="shared" si="47"/>
        <v>0.33379739359632382</v>
      </c>
      <c r="Z101" s="58">
        <f t="shared" si="47"/>
        <v>0.33379739359632382</v>
      </c>
      <c r="AA101" s="58">
        <f t="shared" si="47"/>
        <v>0.33379739359632382</v>
      </c>
      <c r="AB101" s="58">
        <f t="shared" si="47"/>
        <v>0.33379739359632382</v>
      </c>
      <c r="AC101" s="58">
        <f t="shared" si="47"/>
        <v>0.33379739359632382</v>
      </c>
      <c r="AD101" s="58">
        <f t="shared" si="47"/>
        <v>0.33379739359632382</v>
      </c>
      <c r="AE101" s="58">
        <f t="shared" si="47"/>
        <v>0.33379739359632382</v>
      </c>
      <c r="AF101" s="58">
        <f t="shared" si="47"/>
        <v>0.33379739359632382</v>
      </c>
      <c r="AG101" s="58">
        <f t="shared" si="47"/>
        <v>0.33379739359632382</v>
      </c>
      <c r="AH101" s="58">
        <f t="shared" si="47"/>
        <v>0.33379739359632382</v>
      </c>
      <c r="AI101" s="58">
        <f t="shared" si="47"/>
        <v>0.33379739359632382</v>
      </c>
      <c r="AJ101" s="58">
        <f t="shared" si="47"/>
        <v>0.33379739359632382</v>
      </c>
      <c r="AK101" s="58">
        <f t="shared" si="47"/>
        <v>0.33379739359632382</v>
      </c>
      <c r="AL101" s="58">
        <f t="shared" si="47"/>
        <v>0.33379739359632382</v>
      </c>
      <c r="AM101" s="58">
        <f t="shared" si="47"/>
        <v>0.33379739359632382</v>
      </c>
      <c r="AN101" s="58">
        <f t="shared" si="47"/>
        <v>0.33379739359632382</v>
      </c>
      <c r="AO101" s="58">
        <f t="shared" si="47"/>
        <v>0.33379739359632382</v>
      </c>
      <c r="AP101" s="58">
        <f t="shared" si="47"/>
        <v>0.33379739359632382</v>
      </c>
      <c r="AQ101" s="58">
        <f t="shared" si="47"/>
        <v>0.33379739359632382</v>
      </c>
      <c r="AR101" s="58">
        <f t="shared" si="47"/>
        <v>0.33379739359632382</v>
      </c>
      <c r="AS101" s="58">
        <f t="shared" si="47"/>
        <v>0.33379739359632382</v>
      </c>
      <c r="AT101" s="58">
        <f t="shared" si="47"/>
        <v>0.33379739359632382</v>
      </c>
      <c r="AU101" s="58">
        <f t="shared" si="47"/>
        <v>0.33379739359632382</v>
      </c>
      <c r="AV101" s="58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</row>
    <row r="102" spans="1:68" ht="12.75" customHeight="1" x14ac:dyDescent="0.2">
      <c r="C102" s="27" t="s">
        <v>235</v>
      </c>
      <c r="D102" s="27" t="s">
        <v>491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58">
        <f>0</f>
        <v>0</v>
      </c>
      <c r="S102" s="58">
        <f>0</f>
        <v>0</v>
      </c>
      <c r="T102" s="58">
        <f>0</f>
        <v>0</v>
      </c>
      <c r="U102" s="58">
        <f>0</f>
        <v>0</v>
      </c>
      <c r="V102" s="58">
        <f>0</f>
        <v>0</v>
      </c>
      <c r="W102" s="58">
        <f>0</f>
        <v>0</v>
      </c>
      <c r="X102" s="58">
        <f>0</f>
        <v>0</v>
      </c>
      <c r="Y102" s="58">
        <f>0</f>
        <v>0</v>
      </c>
      <c r="Z102" s="58">
        <f>0</f>
        <v>0</v>
      </c>
      <c r="AA102" s="58">
        <f>0</f>
        <v>0</v>
      </c>
      <c r="AB102" s="58">
        <f>0</f>
        <v>0</v>
      </c>
      <c r="AC102" s="58">
        <f>0</f>
        <v>0</v>
      </c>
      <c r="AD102" s="58">
        <f>0</f>
        <v>0</v>
      </c>
      <c r="AE102" s="58">
        <f>0</f>
        <v>0</v>
      </c>
      <c r="AF102" s="58">
        <f>0</f>
        <v>0</v>
      </c>
      <c r="AG102" s="58">
        <f>0</f>
        <v>0</v>
      </c>
      <c r="AH102" s="58">
        <f>0</f>
        <v>0</v>
      </c>
      <c r="AI102" s="58">
        <f>0</f>
        <v>0</v>
      </c>
      <c r="AJ102" s="58">
        <f>0</f>
        <v>0</v>
      </c>
      <c r="AK102" s="58">
        <f>0</f>
        <v>0</v>
      </c>
      <c r="AL102" s="58">
        <f>0</f>
        <v>0</v>
      </c>
      <c r="AM102" s="58">
        <f>0</f>
        <v>0</v>
      </c>
      <c r="AN102" s="58">
        <f>0</f>
        <v>0</v>
      </c>
      <c r="AO102" s="58">
        <f>0</f>
        <v>0</v>
      </c>
      <c r="AP102" s="58">
        <f>0</f>
        <v>0</v>
      </c>
      <c r="AQ102" s="58">
        <f>0</f>
        <v>0</v>
      </c>
      <c r="AR102" s="58">
        <f>0</f>
        <v>0</v>
      </c>
      <c r="AS102" s="58">
        <f>0</f>
        <v>0</v>
      </c>
      <c r="AT102" s="58">
        <f>0</f>
        <v>0</v>
      </c>
      <c r="AU102" s="129">
        <f>AU101</f>
        <v>0.33379739359632382</v>
      </c>
      <c r="AV102" s="58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</row>
    <row r="103" spans="1:68" ht="12.75" customHeight="1" x14ac:dyDescent="0.2">
      <c r="C103" s="27" t="s">
        <v>236</v>
      </c>
      <c r="D103" s="27" t="s">
        <v>491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58">
        <f t="shared" ref="R103:AU103" si="48">R101-R102</f>
        <v>0.33379739359632382</v>
      </c>
      <c r="S103" s="58">
        <f t="shared" si="48"/>
        <v>0.33379739359632382</v>
      </c>
      <c r="T103" s="58">
        <f t="shared" si="48"/>
        <v>0.33379739359632382</v>
      </c>
      <c r="U103" s="58">
        <f t="shared" si="48"/>
        <v>0.33379739359632382</v>
      </c>
      <c r="V103" s="58">
        <f t="shared" si="48"/>
        <v>0.33379739359632382</v>
      </c>
      <c r="W103" s="58">
        <f t="shared" si="48"/>
        <v>0.33379739359632382</v>
      </c>
      <c r="X103" s="58">
        <f t="shared" si="48"/>
        <v>0.33379739359632382</v>
      </c>
      <c r="Y103" s="58">
        <f t="shared" si="48"/>
        <v>0.33379739359632382</v>
      </c>
      <c r="Z103" s="58">
        <f t="shared" si="48"/>
        <v>0.33379739359632382</v>
      </c>
      <c r="AA103" s="58">
        <f t="shared" si="48"/>
        <v>0.33379739359632382</v>
      </c>
      <c r="AB103" s="58">
        <f t="shared" si="48"/>
        <v>0.33379739359632382</v>
      </c>
      <c r="AC103" s="58">
        <f t="shared" si="48"/>
        <v>0.33379739359632382</v>
      </c>
      <c r="AD103" s="58">
        <f t="shared" si="48"/>
        <v>0.33379739359632382</v>
      </c>
      <c r="AE103" s="58">
        <f t="shared" si="48"/>
        <v>0.33379739359632382</v>
      </c>
      <c r="AF103" s="58">
        <f t="shared" si="48"/>
        <v>0.33379739359632382</v>
      </c>
      <c r="AG103" s="58">
        <f t="shared" si="48"/>
        <v>0.33379739359632382</v>
      </c>
      <c r="AH103" s="58">
        <f t="shared" si="48"/>
        <v>0.33379739359632382</v>
      </c>
      <c r="AI103" s="58">
        <f t="shared" si="48"/>
        <v>0.33379739359632382</v>
      </c>
      <c r="AJ103" s="58">
        <f t="shared" si="48"/>
        <v>0.33379739359632382</v>
      </c>
      <c r="AK103" s="58">
        <f t="shared" si="48"/>
        <v>0.33379739359632382</v>
      </c>
      <c r="AL103" s="58">
        <f t="shared" si="48"/>
        <v>0.33379739359632382</v>
      </c>
      <c r="AM103" s="58">
        <f t="shared" si="48"/>
        <v>0.33379739359632382</v>
      </c>
      <c r="AN103" s="58">
        <f t="shared" si="48"/>
        <v>0.33379739359632382</v>
      </c>
      <c r="AO103" s="58">
        <f t="shared" si="48"/>
        <v>0.33379739359632382</v>
      </c>
      <c r="AP103" s="58">
        <f t="shared" si="48"/>
        <v>0.33379739359632382</v>
      </c>
      <c r="AQ103" s="58">
        <f t="shared" si="48"/>
        <v>0.33379739359632382</v>
      </c>
      <c r="AR103" s="58">
        <f t="shared" si="48"/>
        <v>0.33379739359632382</v>
      </c>
      <c r="AS103" s="58">
        <f t="shared" si="48"/>
        <v>0.33379739359632382</v>
      </c>
      <c r="AT103" s="58">
        <f t="shared" si="48"/>
        <v>0.33379739359632382</v>
      </c>
      <c r="AU103" s="58">
        <f t="shared" si="48"/>
        <v>0</v>
      </c>
      <c r="AV103" s="58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</row>
    <row r="104" spans="1:68" ht="12.75" customHeight="1" x14ac:dyDescent="0.2">
      <c r="C104" s="2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58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</row>
    <row r="105" spans="1:68" ht="12.75" customHeight="1" x14ac:dyDescent="0.2">
      <c r="B105" s="28" t="s">
        <v>509</v>
      </c>
      <c r="C105" s="2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58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</row>
    <row r="106" spans="1:68" ht="12.75" customHeight="1" x14ac:dyDescent="0.2">
      <c r="C106" s="27" t="s">
        <v>238</v>
      </c>
      <c r="D106" s="27" t="s">
        <v>491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58">
        <v>0</v>
      </c>
      <c r="S106" s="122">
        <f>R114</f>
        <v>0</v>
      </c>
      <c r="T106" s="122">
        <f t="shared" ref="T106:AV106" si="49">S114</f>
        <v>0</v>
      </c>
      <c r="U106" s="122">
        <f t="shared" si="49"/>
        <v>0</v>
      </c>
      <c r="V106" s="122">
        <f t="shared" si="49"/>
        <v>0</v>
      </c>
      <c r="W106" s="122">
        <f t="shared" si="49"/>
        <v>0</v>
      </c>
      <c r="X106" s="122">
        <f t="shared" si="49"/>
        <v>0</v>
      </c>
      <c r="Y106" s="122">
        <f t="shared" si="49"/>
        <v>0</v>
      </c>
      <c r="Z106" s="122">
        <f t="shared" si="49"/>
        <v>0</v>
      </c>
      <c r="AA106" s="122">
        <f t="shared" si="49"/>
        <v>0</v>
      </c>
      <c r="AB106" s="122">
        <f t="shared" si="49"/>
        <v>0</v>
      </c>
      <c r="AC106" s="122">
        <f t="shared" si="49"/>
        <v>0</v>
      </c>
      <c r="AD106" s="122">
        <f t="shared" si="49"/>
        <v>0</v>
      </c>
      <c r="AE106" s="122">
        <f t="shared" si="49"/>
        <v>0</v>
      </c>
      <c r="AF106" s="122">
        <f t="shared" si="49"/>
        <v>0</v>
      </c>
      <c r="AG106" s="122">
        <f t="shared" si="49"/>
        <v>0</v>
      </c>
      <c r="AH106" s="122">
        <f t="shared" si="49"/>
        <v>0</v>
      </c>
      <c r="AI106" s="122">
        <f t="shared" si="49"/>
        <v>0</v>
      </c>
      <c r="AJ106" s="122">
        <f t="shared" si="49"/>
        <v>0</v>
      </c>
      <c r="AK106" s="122">
        <f t="shared" si="49"/>
        <v>0</v>
      </c>
      <c r="AL106" s="122">
        <f t="shared" si="49"/>
        <v>0</v>
      </c>
      <c r="AM106" s="122">
        <f t="shared" si="49"/>
        <v>0</v>
      </c>
      <c r="AN106" s="122">
        <f t="shared" si="49"/>
        <v>0</v>
      </c>
      <c r="AO106" s="122">
        <f t="shared" si="49"/>
        <v>0</v>
      </c>
      <c r="AP106" s="122">
        <f t="shared" si="49"/>
        <v>0</v>
      </c>
      <c r="AQ106" s="122">
        <f t="shared" si="49"/>
        <v>0</v>
      </c>
      <c r="AR106" s="122">
        <f t="shared" si="49"/>
        <v>0</v>
      </c>
      <c r="AS106" s="122">
        <f t="shared" si="49"/>
        <v>0</v>
      </c>
      <c r="AT106" s="122">
        <f t="shared" si="49"/>
        <v>0</v>
      </c>
      <c r="AU106" s="122">
        <f t="shared" si="49"/>
        <v>0</v>
      </c>
      <c r="AV106" s="122">
        <f t="shared" si="49"/>
        <v>0</v>
      </c>
      <c r="AW106" s="122">
        <f t="shared" ref="AW106" si="50">AV114</f>
        <v>0</v>
      </c>
      <c r="AX106" s="122">
        <f t="shared" ref="AX106" si="51">AW114</f>
        <v>0</v>
      </c>
      <c r="AY106" s="122">
        <f t="shared" ref="AY106" si="52">AX114</f>
        <v>0</v>
      </c>
      <c r="AZ106" s="122">
        <f t="shared" ref="AZ106" si="53">AY114</f>
        <v>0</v>
      </c>
      <c r="BA106" s="122">
        <f t="shared" ref="BA106" si="54">AZ114</f>
        <v>0</v>
      </c>
      <c r="BB106" s="122">
        <f t="shared" ref="BB106" si="55">BA114</f>
        <v>0</v>
      </c>
      <c r="BC106" s="122">
        <f t="shared" ref="BC106" si="56">BB114</f>
        <v>0</v>
      </c>
      <c r="BD106" s="122">
        <f t="shared" ref="BD106" si="57">BC114</f>
        <v>0</v>
      </c>
      <c r="BE106" s="122">
        <f t="shared" ref="BE106" si="58">BD114</f>
        <v>0</v>
      </c>
      <c r="BF106" s="122">
        <f t="shared" ref="BF106" si="59">BE114</f>
        <v>0</v>
      </c>
      <c r="BG106" s="122">
        <f t="shared" ref="BG106" si="60">BF114</f>
        <v>0</v>
      </c>
      <c r="BH106" s="122">
        <f t="shared" ref="BH106" si="61">BG114</f>
        <v>0</v>
      </c>
      <c r="BI106" s="122">
        <f t="shared" ref="BI106" si="62">BH114</f>
        <v>0</v>
      </c>
      <c r="BJ106" s="122">
        <f t="shared" ref="BJ106" si="63">BI114</f>
        <v>0</v>
      </c>
      <c r="BK106" s="122">
        <f t="shared" ref="BK106" si="64">BJ114</f>
        <v>0</v>
      </c>
      <c r="BL106" s="122">
        <f t="shared" ref="BL106" si="65">BK114</f>
        <v>0</v>
      </c>
      <c r="BM106" s="122">
        <f t="shared" ref="BM106" si="66">BL114</f>
        <v>0</v>
      </c>
      <c r="BN106" s="122">
        <f t="shared" ref="BN106" si="67">BM114</f>
        <v>0</v>
      </c>
      <c r="BO106" s="122">
        <f t="shared" ref="BO106" si="68">BN114</f>
        <v>0</v>
      </c>
    </row>
    <row r="107" spans="1:68" ht="12.75" customHeight="1" x14ac:dyDescent="0.2">
      <c r="C107" s="27" t="s">
        <v>256</v>
      </c>
      <c r="D107" s="27" t="s">
        <v>491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58">
        <f>R106*$E$16</f>
        <v>0</v>
      </c>
      <c r="S107" s="58">
        <f t="shared" ref="S107:AV107" si="69">S106*$E$16</f>
        <v>0</v>
      </c>
      <c r="T107" s="58">
        <f t="shared" si="69"/>
        <v>0</v>
      </c>
      <c r="U107" s="58">
        <f t="shared" si="69"/>
        <v>0</v>
      </c>
      <c r="V107" s="58">
        <f t="shared" si="69"/>
        <v>0</v>
      </c>
      <c r="W107" s="58">
        <f t="shared" si="69"/>
        <v>0</v>
      </c>
      <c r="X107" s="58">
        <f t="shared" si="69"/>
        <v>0</v>
      </c>
      <c r="Y107" s="58">
        <f t="shared" si="69"/>
        <v>0</v>
      </c>
      <c r="Z107" s="58">
        <f t="shared" si="69"/>
        <v>0</v>
      </c>
      <c r="AA107" s="58">
        <f t="shared" si="69"/>
        <v>0</v>
      </c>
      <c r="AB107" s="58">
        <f t="shared" si="69"/>
        <v>0</v>
      </c>
      <c r="AC107" s="58">
        <f t="shared" si="69"/>
        <v>0</v>
      </c>
      <c r="AD107" s="58">
        <f t="shared" si="69"/>
        <v>0</v>
      </c>
      <c r="AE107" s="58">
        <f t="shared" si="69"/>
        <v>0</v>
      </c>
      <c r="AF107" s="58">
        <f t="shared" si="69"/>
        <v>0</v>
      </c>
      <c r="AG107" s="58">
        <f t="shared" si="69"/>
        <v>0</v>
      </c>
      <c r="AH107" s="58">
        <f t="shared" si="69"/>
        <v>0</v>
      </c>
      <c r="AI107" s="58">
        <f t="shared" si="69"/>
        <v>0</v>
      </c>
      <c r="AJ107" s="58">
        <f t="shared" si="69"/>
        <v>0</v>
      </c>
      <c r="AK107" s="58">
        <f t="shared" si="69"/>
        <v>0</v>
      </c>
      <c r="AL107" s="58">
        <f t="shared" si="69"/>
        <v>0</v>
      </c>
      <c r="AM107" s="58">
        <f t="shared" si="69"/>
        <v>0</v>
      </c>
      <c r="AN107" s="58">
        <f t="shared" si="69"/>
        <v>0</v>
      </c>
      <c r="AO107" s="58">
        <f t="shared" si="69"/>
        <v>0</v>
      </c>
      <c r="AP107" s="58">
        <f t="shared" si="69"/>
        <v>0</v>
      </c>
      <c r="AQ107" s="58">
        <f t="shared" si="69"/>
        <v>0</v>
      </c>
      <c r="AR107" s="58">
        <f t="shared" si="69"/>
        <v>0</v>
      </c>
      <c r="AS107" s="58">
        <f t="shared" si="69"/>
        <v>0</v>
      </c>
      <c r="AT107" s="58">
        <f t="shared" si="69"/>
        <v>0</v>
      </c>
      <c r="AU107" s="58">
        <f t="shared" si="69"/>
        <v>0</v>
      </c>
      <c r="AV107" s="58">
        <f t="shared" si="69"/>
        <v>0</v>
      </c>
      <c r="AW107" s="58">
        <f t="shared" ref="AW107" si="70">AW106*$E$16</f>
        <v>0</v>
      </c>
      <c r="AX107" s="58">
        <f t="shared" ref="AX107" si="71">AX106*$E$16</f>
        <v>0</v>
      </c>
      <c r="AY107" s="58">
        <f t="shared" ref="AY107" si="72">AY106*$E$16</f>
        <v>0</v>
      </c>
      <c r="AZ107" s="58">
        <f t="shared" ref="AZ107" si="73">AZ106*$E$16</f>
        <v>0</v>
      </c>
      <c r="BA107" s="58">
        <f t="shared" ref="BA107" si="74">BA106*$E$16</f>
        <v>0</v>
      </c>
      <c r="BB107" s="58">
        <f t="shared" ref="BB107" si="75">BB106*$E$16</f>
        <v>0</v>
      </c>
      <c r="BC107" s="58">
        <f t="shared" ref="BC107" si="76">BC106*$E$16</f>
        <v>0</v>
      </c>
      <c r="BD107" s="58">
        <f t="shared" ref="BD107" si="77">BD106*$E$16</f>
        <v>0</v>
      </c>
      <c r="BE107" s="58">
        <f t="shared" ref="BE107" si="78">BE106*$E$16</f>
        <v>0</v>
      </c>
      <c r="BF107" s="58">
        <f t="shared" ref="BF107" si="79">BF106*$E$16</f>
        <v>0</v>
      </c>
      <c r="BG107" s="58">
        <f t="shared" ref="BG107" si="80">BG106*$E$16</f>
        <v>0</v>
      </c>
      <c r="BH107" s="58">
        <f t="shared" ref="BH107" si="81">BH106*$E$16</f>
        <v>0</v>
      </c>
      <c r="BI107" s="58">
        <f t="shared" ref="BI107" si="82">BI106*$E$16</f>
        <v>0</v>
      </c>
      <c r="BJ107" s="58">
        <f t="shared" ref="BJ107" si="83">BJ106*$E$16</f>
        <v>0</v>
      </c>
      <c r="BK107" s="58">
        <f t="shared" ref="BK107" si="84">BK106*$E$16</f>
        <v>0</v>
      </c>
      <c r="BL107" s="58">
        <f t="shared" ref="BL107" si="85">BL106*$E$16</f>
        <v>0</v>
      </c>
      <c r="BM107" s="58">
        <f t="shared" ref="BM107" si="86">BM106*$E$16</f>
        <v>0</v>
      </c>
      <c r="BN107" s="58">
        <f t="shared" ref="BN107" si="87">BN106*$E$16</f>
        <v>0</v>
      </c>
      <c r="BO107" s="58">
        <f t="shared" ref="BO107" si="88">BO106*$E$16</f>
        <v>0</v>
      </c>
    </row>
    <row r="108" spans="1:68" ht="12.75" customHeight="1" x14ac:dyDescent="0.2">
      <c r="C108" s="27" t="s">
        <v>525</v>
      </c>
      <c r="D108" s="27" t="s">
        <v>491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58">
        <f t="shared" ref="R108:AV108" si="89">R81</f>
        <v>0</v>
      </c>
      <c r="S108" s="58">
        <f t="shared" si="89"/>
        <v>0</v>
      </c>
      <c r="T108" s="58">
        <f t="shared" si="89"/>
        <v>0</v>
      </c>
      <c r="U108" s="58">
        <f t="shared" si="89"/>
        <v>0</v>
      </c>
      <c r="V108" s="58">
        <f t="shared" si="89"/>
        <v>0</v>
      </c>
      <c r="W108" s="58">
        <f t="shared" si="89"/>
        <v>0</v>
      </c>
      <c r="X108" s="58">
        <f t="shared" si="89"/>
        <v>0</v>
      </c>
      <c r="Y108" s="58">
        <f t="shared" si="89"/>
        <v>0</v>
      </c>
      <c r="Z108" s="58">
        <f t="shared" si="89"/>
        <v>0</v>
      </c>
      <c r="AA108" s="58">
        <f t="shared" si="89"/>
        <v>0</v>
      </c>
      <c r="AB108" s="58">
        <f t="shared" si="89"/>
        <v>0</v>
      </c>
      <c r="AC108" s="58">
        <f t="shared" si="89"/>
        <v>0</v>
      </c>
      <c r="AD108" s="58">
        <f t="shared" si="89"/>
        <v>0</v>
      </c>
      <c r="AE108" s="58">
        <f t="shared" si="89"/>
        <v>0</v>
      </c>
      <c r="AF108" s="58">
        <f t="shared" si="89"/>
        <v>0</v>
      </c>
      <c r="AG108" s="58">
        <f t="shared" si="89"/>
        <v>0</v>
      </c>
      <c r="AH108" s="58">
        <f t="shared" si="89"/>
        <v>0</v>
      </c>
      <c r="AI108" s="58">
        <f t="shared" si="89"/>
        <v>0</v>
      </c>
      <c r="AJ108" s="58">
        <f t="shared" si="89"/>
        <v>0</v>
      </c>
      <c r="AK108" s="58">
        <f t="shared" si="89"/>
        <v>0</v>
      </c>
      <c r="AL108" s="58">
        <f t="shared" si="89"/>
        <v>0</v>
      </c>
      <c r="AM108" s="58">
        <f t="shared" si="89"/>
        <v>0</v>
      </c>
      <c r="AN108" s="58">
        <f t="shared" si="89"/>
        <v>0</v>
      </c>
      <c r="AO108" s="58">
        <f t="shared" si="89"/>
        <v>0</v>
      </c>
      <c r="AP108" s="58">
        <f t="shared" si="89"/>
        <v>0</v>
      </c>
      <c r="AQ108" s="58">
        <f t="shared" si="89"/>
        <v>0</v>
      </c>
      <c r="AR108" s="58">
        <f t="shared" si="89"/>
        <v>0</v>
      </c>
      <c r="AS108" s="58">
        <f t="shared" si="89"/>
        <v>0</v>
      </c>
      <c r="AT108" s="58">
        <f t="shared" si="89"/>
        <v>0</v>
      </c>
      <c r="AU108" s="58">
        <f t="shared" si="89"/>
        <v>0</v>
      </c>
      <c r="AV108" s="58">
        <f t="shared" si="89"/>
        <v>0</v>
      </c>
      <c r="AW108" s="58">
        <f t="shared" ref="AW108:BO108" si="90">AW81</f>
        <v>0</v>
      </c>
      <c r="AX108" s="58">
        <f t="shared" si="90"/>
        <v>0</v>
      </c>
      <c r="AY108" s="58">
        <f t="shared" si="90"/>
        <v>0</v>
      </c>
      <c r="AZ108" s="58">
        <f t="shared" si="90"/>
        <v>0</v>
      </c>
      <c r="BA108" s="58">
        <f t="shared" si="90"/>
        <v>0</v>
      </c>
      <c r="BB108" s="58">
        <f t="shared" si="90"/>
        <v>0</v>
      </c>
      <c r="BC108" s="58">
        <f t="shared" si="90"/>
        <v>0</v>
      </c>
      <c r="BD108" s="58">
        <f t="shared" si="90"/>
        <v>0</v>
      </c>
      <c r="BE108" s="58">
        <f t="shared" si="90"/>
        <v>0</v>
      </c>
      <c r="BF108" s="58">
        <f t="shared" si="90"/>
        <v>0</v>
      </c>
      <c r="BG108" s="58">
        <f t="shared" si="90"/>
        <v>0</v>
      </c>
      <c r="BH108" s="58">
        <f t="shared" si="90"/>
        <v>0</v>
      </c>
      <c r="BI108" s="58">
        <f t="shared" si="90"/>
        <v>0</v>
      </c>
      <c r="BJ108" s="58">
        <f t="shared" si="90"/>
        <v>0</v>
      </c>
      <c r="BK108" s="58">
        <f t="shared" si="90"/>
        <v>0</v>
      </c>
      <c r="BL108" s="58">
        <f t="shared" si="90"/>
        <v>0</v>
      </c>
      <c r="BM108" s="58">
        <f t="shared" si="90"/>
        <v>0</v>
      </c>
      <c r="BN108" s="58">
        <f t="shared" si="90"/>
        <v>0</v>
      </c>
      <c r="BO108" s="58">
        <f t="shared" si="90"/>
        <v>0</v>
      </c>
    </row>
    <row r="109" spans="1:68" ht="12.75" customHeight="1" x14ac:dyDescent="0.2">
      <c r="C109" s="27" t="s">
        <v>528</v>
      </c>
      <c r="D109" s="27" t="s">
        <v>491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58">
        <f>0</f>
        <v>0</v>
      </c>
      <c r="S109" s="58">
        <f>0</f>
        <v>0</v>
      </c>
      <c r="T109" s="58">
        <f>0</f>
        <v>0</v>
      </c>
      <c r="U109" s="58">
        <f>0</f>
        <v>0</v>
      </c>
      <c r="V109" s="58">
        <f>0</f>
        <v>0</v>
      </c>
      <c r="W109" s="58">
        <f>0</f>
        <v>0</v>
      </c>
      <c r="X109" s="58">
        <f>0</f>
        <v>0</v>
      </c>
      <c r="Y109" s="58">
        <f>0</f>
        <v>0</v>
      </c>
      <c r="Z109" s="58">
        <f>0</f>
        <v>0</v>
      </c>
      <c r="AA109" s="58">
        <f>0</f>
        <v>0</v>
      </c>
      <c r="AB109" s="58">
        <f>0</f>
        <v>0</v>
      </c>
      <c r="AC109" s="58">
        <f>0</f>
        <v>0</v>
      </c>
      <c r="AD109" s="58">
        <f>0</f>
        <v>0</v>
      </c>
      <c r="AE109" s="58">
        <f>0</f>
        <v>0</v>
      </c>
      <c r="AF109" s="58">
        <f>0</f>
        <v>0</v>
      </c>
      <c r="AG109" s="58">
        <f>0</f>
        <v>0</v>
      </c>
      <c r="AH109" s="58">
        <f>0</f>
        <v>0</v>
      </c>
      <c r="AI109" s="58">
        <f>0</f>
        <v>0</v>
      </c>
      <c r="AJ109" s="58">
        <f>0</f>
        <v>0</v>
      </c>
      <c r="AK109" s="58">
        <f>0</f>
        <v>0</v>
      </c>
      <c r="AL109" s="58">
        <f>0</f>
        <v>0</v>
      </c>
      <c r="AM109" s="58">
        <f>0</f>
        <v>0</v>
      </c>
      <c r="AN109" s="58">
        <f>0</f>
        <v>0</v>
      </c>
      <c r="AO109" s="58">
        <f>0</f>
        <v>0</v>
      </c>
      <c r="AP109" s="58">
        <f>0</f>
        <v>0</v>
      </c>
      <c r="AQ109" s="58">
        <f>0</f>
        <v>0</v>
      </c>
      <c r="AR109" s="58">
        <f>0</f>
        <v>0</v>
      </c>
      <c r="AS109" s="58">
        <f>0</f>
        <v>0</v>
      </c>
      <c r="AT109" s="58">
        <f>0</f>
        <v>0</v>
      </c>
      <c r="AU109" s="58">
        <f>0</f>
        <v>0</v>
      </c>
      <c r="AV109" s="58">
        <f>0</f>
        <v>0</v>
      </c>
      <c r="AW109" s="58">
        <f>0</f>
        <v>0</v>
      </c>
      <c r="AX109" s="58">
        <f>0</f>
        <v>0</v>
      </c>
      <c r="AY109" s="58">
        <f>0</f>
        <v>0</v>
      </c>
      <c r="AZ109" s="58">
        <f>0</f>
        <v>0</v>
      </c>
      <c r="BA109" s="58">
        <f>0</f>
        <v>0</v>
      </c>
      <c r="BB109" s="58">
        <f>0</f>
        <v>0</v>
      </c>
      <c r="BC109" s="58">
        <f>0</f>
        <v>0</v>
      </c>
      <c r="BD109" s="58">
        <f>0</f>
        <v>0</v>
      </c>
      <c r="BE109" s="58">
        <f>0</f>
        <v>0</v>
      </c>
      <c r="BF109" s="58">
        <f>0</f>
        <v>0</v>
      </c>
      <c r="BG109" s="58">
        <f>0</f>
        <v>0</v>
      </c>
      <c r="BH109" s="58">
        <f>0</f>
        <v>0</v>
      </c>
      <c r="BI109" s="58">
        <f>0</f>
        <v>0</v>
      </c>
      <c r="BJ109" s="58">
        <f>0</f>
        <v>0</v>
      </c>
      <c r="BK109" s="58">
        <f>0</f>
        <v>0</v>
      </c>
      <c r="BL109" s="58">
        <f>0</f>
        <v>0</v>
      </c>
      <c r="BM109" s="58">
        <f>0</f>
        <v>0</v>
      </c>
      <c r="BN109" s="58">
        <f>0</f>
        <v>0</v>
      </c>
      <c r="BO109" s="58">
        <f>0</f>
        <v>0</v>
      </c>
    </row>
    <row r="110" spans="1:68" ht="12.75" customHeight="1" x14ac:dyDescent="0.2">
      <c r="C110" s="27" t="s">
        <v>529</v>
      </c>
      <c r="D110" s="27" t="s">
        <v>491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58">
        <f t="shared" ref="R110:AU110" si="91">R106+R107+R108-R109</f>
        <v>0</v>
      </c>
      <c r="S110" s="58">
        <f t="shared" si="91"/>
        <v>0</v>
      </c>
      <c r="T110" s="58">
        <f t="shared" si="91"/>
        <v>0</v>
      </c>
      <c r="U110" s="58">
        <f t="shared" si="91"/>
        <v>0</v>
      </c>
      <c r="V110" s="58">
        <f t="shared" si="91"/>
        <v>0</v>
      </c>
      <c r="W110" s="58">
        <f t="shared" si="91"/>
        <v>0</v>
      </c>
      <c r="X110" s="58">
        <f t="shared" si="91"/>
        <v>0</v>
      </c>
      <c r="Y110" s="58">
        <f t="shared" si="91"/>
        <v>0</v>
      </c>
      <c r="Z110" s="58">
        <f t="shared" si="91"/>
        <v>0</v>
      </c>
      <c r="AA110" s="58">
        <f t="shared" si="91"/>
        <v>0</v>
      </c>
      <c r="AB110" s="58">
        <f t="shared" si="91"/>
        <v>0</v>
      </c>
      <c r="AC110" s="58">
        <f t="shared" si="91"/>
        <v>0</v>
      </c>
      <c r="AD110" s="58">
        <f t="shared" si="91"/>
        <v>0</v>
      </c>
      <c r="AE110" s="58">
        <f t="shared" si="91"/>
        <v>0</v>
      </c>
      <c r="AF110" s="58">
        <f t="shared" si="91"/>
        <v>0</v>
      </c>
      <c r="AG110" s="58">
        <f t="shared" si="91"/>
        <v>0</v>
      </c>
      <c r="AH110" s="58">
        <f t="shared" si="91"/>
        <v>0</v>
      </c>
      <c r="AI110" s="58">
        <f t="shared" si="91"/>
        <v>0</v>
      </c>
      <c r="AJ110" s="58">
        <f t="shared" si="91"/>
        <v>0</v>
      </c>
      <c r="AK110" s="58">
        <f t="shared" si="91"/>
        <v>0</v>
      </c>
      <c r="AL110" s="58">
        <f t="shared" si="91"/>
        <v>0</v>
      </c>
      <c r="AM110" s="58">
        <f t="shared" si="91"/>
        <v>0</v>
      </c>
      <c r="AN110" s="58">
        <f t="shared" si="91"/>
        <v>0</v>
      </c>
      <c r="AO110" s="58">
        <f t="shared" si="91"/>
        <v>0</v>
      </c>
      <c r="AP110" s="58">
        <f t="shared" si="91"/>
        <v>0</v>
      </c>
      <c r="AQ110" s="58">
        <f t="shared" si="91"/>
        <v>0</v>
      </c>
      <c r="AR110" s="58">
        <f t="shared" si="91"/>
        <v>0</v>
      </c>
      <c r="AS110" s="58">
        <f t="shared" si="91"/>
        <v>0</v>
      </c>
      <c r="AT110" s="58">
        <f t="shared" si="91"/>
        <v>0</v>
      </c>
      <c r="AU110" s="58">
        <f t="shared" si="91"/>
        <v>0</v>
      </c>
      <c r="AV110" s="58">
        <f t="shared" ref="AV110:BO110" si="92">AV106+AV107+AV108-AV109</f>
        <v>0</v>
      </c>
      <c r="AW110" s="58">
        <f t="shared" si="92"/>
        <v>0</v>
      </c>
      <c r="AX110" s="58">
        <f t="shared" si="92"/>
        <v>0</v>
      </c>
      <c r="AY110" s="58">
        <f t="shared" si="92"/>
        <v>0</v>
      </c>
      <c r="AZ110" s="58">
        <f t="shared" si="92"/>
        <v>0</v>
      </c>
      <c r="BA110" s="58">
        <f t="shared" si="92"/>
        <v>0</v>
      </c>
      <c r="BB110" s="58">
        <f t="shared" si="92"/>
        <v>0</v>
      </c>
      <c r="BC110" s="58">
        <f t="shared" si="92"/>
        <v>0</v>
      </c>
      <c r="BD110" s="58">
        <f t="shared" si="92"/>
        <v>0</v>
      </c>
      <c r="BE110" s="58">
        <f t="shared" si="92"/>
        <v>0</v>
      </c>
      <c r="BF110" s="58">
        <f t="shared" si="92"/>
        <v>0</v>
      </c>
      <c r="BG110" s="58">
        <f t="shared" si="92"/>
        <v>0</v>
      </c>
      <c r="BH110" s="58">
        <f t="shared" si="92"/>
        <v>0</v>
      </c>
      <c r="BI110" s="58">
        <f t="shared" si="92"/>
        <v>0</v>
      </c>
      <c r="BJ110" s="58">
        <f t="shared" si="92"/>
        <v>0</v>
      </c>
      <c r="BK110" s="58">
        <f t="shared" si="92"/>
        <v>0</v>
      </c>
      <c r="BL110" s="58">
        <f t="shared" si="92"/>
        <v>0</v>
      </c>
      <c r="BM110" s="58">
        <f t="shared" si="92"/>
        <v>0</v>
      </c>
      <c r="BN110" s="58">
        <f t="shared" si="92"/>
        <v>0</v>
      </c>
      <c r="BO110" s="58">
        <f t="shared" si="92"/>
        <v>0</v>
      </c>
    </row>
    <row r="111" spans="1:68" ht="12.75" customHeight="1" x14ac:dyDescent="0.2">
      <c r="C111" s="27" t="s">
        <v>526</v>
      </c>
      <c r="D111" s="27" t="s">
        <v>491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58">
        <f t="shared" ref="R111:AV111" si="93">R96</f>
        <v>5.6691196779760213</v>
      </c>
      <c r="S111" s="58">
        <f t="shared" si="93"/>
        <v>5.5620870714987385</v>
      </c>
      <c r="T111" s="58">
        <f t="shared" si="93"/>
        <v>5.4507731607623642</v>
      </c>
      <c r="U111" s="58">
        <f t="shared" si="93"/>
        <v>5.3350066935965348</v>
      </c>
      <c r="V111" s="58">
        <f t="shared" si="93"/>
        <v>5.2146095677440725</v>
      </c>
      <c r="W111" s="58">
        <f t="shared" si="93"/>
        <v>5.0893965568575119</v>
      </c>
      <c r="X111" s="58">
        <f t="shared" si="93"/>
        <v>4.9591750255354885</v>
      </c>
      <c r="Y111" s="58">
        <f t="shared" si="93"/>
        <v>4.823744632960584</v>
      </c>
      <c r="Z111" s="58">
        <f t="shared" si="93"/>
        <v>4.6828970246826831</v>
      </c>
      <c r="AA111" s="58">
        <f t="shared" si="93"/>
        <v>4.5364155120736669</v>
      </c>
      <c r="AB111" s="58">
        <f t="shared" si="93"/>
        <v>4.3840747389602894</v>
      </c>
      <c r="AC111" s="58">
        <f t="shared" si="93"/>
        <v>4.2256403349223772</v>
      </c>
      <c r="AD111" s="58">
        <f t="shared" si="93"/>
        <v>4.0608685547229486</v>
      </c>
      <c r="AE111" s="58">
        <f t="shared" si="93"/>
        <v>3.8895059033155426</v>
      </c>
      <c r="AF111" s="58">
        <f t="shared" si="93"/>
        <v>3.7112887458518404</v>
      </c>
      <c r="AG111" s="58">
        <f t="shared" si="93"/>
        <v>3.5259429020895903</v>
      </c>
      <c r="AH111" s="58">
        <f t="shared" si="93"/>
        <v>3.33318322457685</v>
      </c>
      <c r="AI111" s="58">
        <f t="shared" si="93"/>
        <v>3.1327131599636</v>
      </c>
      <c r="AJ111" s="58">
        <f t="shared" si="93"/>
        <v>2.9242242927658202</v>
      </c>
      <c r="AK111" s="58">
        <f t="shared" si="93"/>
        <v>2.7073958708801293</v>
      </c>
      <c r="AL111" s="58">
        <f t="shared" si="93"/>
        <v>2.4818943121190107</v>
      </c>
      <c r="AM111" s="58">
        <f t="shared" si="93"/>
        <v>2.2473726910074472</v>
      </c>
      <c r="AN111" s="58">
        <f t="shared" si="93"/>
        <v>2.0034702050514213</v>
      </c>
      <c r="AO111" s="58">
        <f t="shared" si="93"/>
        <v>1.7498116196571543</v>
      </c>
      <c r="AP111" s="58">
        <f t="shared" si="93"/>
        <v>1.4860066908471166</v>
      </c>
      <c r="AQ111" s="58">
        <f t="shared" si="93"/>
        <v>1.2116495648846775</v>
      </c>
      <c r="AR111" s="58">
        <f t="shared" si="93"/>
        <v>0.92631815388374072</v>
      </c>
      <c r="AS111" s="58">
        <f t="shared" si="93"/>
        <v>0.62957348644276656</v>
      </c>
      <c r="AT111" s="58">
        <f t="shared" si="93"/>
        <v>0.3209590323041534</v>
      </c>
      <c r="AU111" s="58">
        <f t="shared" si="93"/>
        <v>1.2838361292166145E-2</v>
      </c>
      <c r="AV111" s="58">
        <f t="shared" si="93"/>
        <v>0</v>
      </c>
      <c r="AW111" s="58">
        <f t="shared" ref="AW111:BO111" si="94">AW96</f>
        <v>0</v>
      </c>
      <c r="AX111" s="58">
        <f t="shared" si="94"/>
        <v>0</v>
      </c>
      <c r="AY111" s="58">
        <f t="shared" si="94"/>
        <v>0</v>
      </c>
      <c r="AZ111" s="58">
        <f t="shared" si="94"/>
        <v>0</v>
      </c>
      <c r="BA111" s="58">
        <f t="shared" si="94"/>
        <v>0</v>
      </c>
      <c r="BB111" s="58">
        <f t="shared" si="94"/>
        <v>0</v>
      </c>
      <c r="BC111" s="58">
        <f t="shared" si="94"/>
        <v>0</v>
      </c>
      <c r="BD111" s="58">
        <f t="shared" si="94"/>
        <v>0</v>
      </c>
      <c r="BE111" s="58">
        <f t="shared" si="94"/>
        <v>0</v>
      </c>
      <c r="BF111" s="58">
        <f t="shared" si="94"/>
        <v>0</v>
      </c>
      <c r="BG111" s="58">
        <f t="shared" si="94"/>
        <v>0</v>
      </c>
      <c r="BH111" s="58">
        <f t="shared" si="94"/>
        <v>0</v>
      </c>
      <c r="BI111" s="58">
        <f t="shared" si="94"/>
        <v>0</v>
      </c>
      <c r="BJ111" s="58">
        <f t="shared" si="94"/>
        <v>0</v>
      </c>
      <c r="BK111" s="58">
        <f t="shared" si="94"/>
        <v>0</v>
      </c>
      <c r="BL111" s="58">
        <f t="shared" si="94"/>
        <v>0</v>
      </c>
      <c r="BM111" s="58">
        <f t="shared" si="94"/>
        <v>0</v>
      </c>
      <c r="BN111" s="58">
        <f t="shared" si="94"/>
        <v>0</v>
      </c>
      <c r="BO111" s="58">
        <f t="shared" si="94"/>
        <v>0</v>
      </c>
    </row>
    <row r="112" spans="1:68" ht="12.75" customHeight="1" x14ac:dyDescent="0.2">
      <c r="C112" s="27" t="s">
        <v>530</v>
      </c>
      <c r="D112" s="27" t="s">
        <v>491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58">
        <f>IF(R110&gt;=R111,R111,0)</f>
        <v>0</v>
      </c>
      <c r="S112" s="58">
        <f>IF(S110&gt;=S111,S111,0)</f>
        <v>0</v>
      </c>
      <c r="T112" s="58">
        <f>IF(T110&gt;=T111,T111,0)</f>
        <v>0</v>
      </c>
      <c r="U112" s="58">
        <f>IF(U110&gt;=U111,U111,0)</f>
        <v>0</v>
      </c>
      <c r="V112" s="58">
        <f>IF(V110&gt;=V111,V111,0)</f>
        <v>0</v>
      </c>
      <c r="W112" s="58">
        <f t="shared" ref="W112:AU112" si="95">IF(W110&gt;=W111,W111,0)</f>
        <v>0</v>
      </c>
      <c r="X112" s="58">
        <f t="shared" si="95"/>
        <v>0</v>
      </c>
      <c r="Y112" s="58">
        <f t="shared" si="95"/>
        <v>0</v>
      </c>
      <c r="Z112" s="58">
        <f t="shared" si="95"/>
        <v>0</v>
      </c>
      <c r="AA112" s="58">
        <f t="shared" si="95"/>
        <v>0</v>
      </c>
      <c r="AB112" s="58">
        <f t="shared" si="95"/>
        <v>0</v>
      </c>
      <c r="AC112" s="58">
        <f t="shared" si="95"/>
        <v>0</v>
      </c>
      <c r="AD112" s="58">
        <f t="shared" si="95"/>
        <v>0</v>
      </c>
      <c r="AE112" s="58">
        <f t="shared" si="95"/>
        <v>0</v>
      </c>
      <c r="AF112" s="58">
        <f t="shared" si="95"/>
        <v>0</v>
      </c>
      <c r="AG112" s="58">
        <f t="shared" si="95"/>
        <v>0</v>
      </c>
      <c r="AH112" s="58">
        <f t="shared" si="95"/>
        <v>0</v>
      </c>
      <c r="AI112" s="58">
        <f t="shared" si="95"/>
        <v>0</v>
      </c>
      <c r="AJ112" s="58">
        <f t="shared" si="95"/>
        <v>0</v>
      </c>
      <c r="AK112" s="58">
        <f t="shared" si="95"/>
        <v>0</v>
      </c>
      <c r="AL112" s="58">
        <f t="shared" si="95"/>
        <v>0</v>
      </c>
      <c r="AM112" s="58">
        <f t="shared" si="95"/>
        <v>0</v>
      </c>
      <c r="AN112" s="58">
        <f t="shared" si="95"/>
        <v>0</v>
      </c>
      <c r="AO112" s="58">
        <f t="shared" si="95"/>
        <v>0</v>
      </c>
      <c r="AP112" s="58">
        <f t="shared" si="95"/>
        <v>0</v>
      </c>
      <c r="AQ112" s="58">
        <f t="shared" si="95"/>
        <v>0</v>
      </c>
      <c r="AR112" s="58">
        <f t="shared" si="95"/>
        <v>0</v>
      </c>
      <c r="AS112" s="58">
        <f t="shared" si="95"/>
        <v>0</v>
      </c>
      <c r="AT112" s="58">
        <f t="shared" si="95"/>
        <v>0</v>
      </c>
      <c r="AU112" s="58">
        <f t="shared" si="95"/>
        <v>0</v>
      </c>
      <c r="AV112" s="58">
        <f t="shared" ref="AV112:BO112" si="96">IF(AV110&gt;=AV111,AV111,0)</f>
        <v>0</v>
      </c>
      <c r="AW112" s="58">
        <f t="shared" si="96"/>
        <v>0</v>
      </c>
      <c r="AX112" s="58">
        <f t="shared" si="96"/>
        <v>0</v>
      </c>
      <c r="AY112" s="58">
        <f t="shared" si="96"/>
        <v>0</v>
      </c>
      <c r="AZ112" s="58">
        <f t="shared" si="96"/>
        <v>0</v>
      </c>
      <c r="BA112" s="58">
        <f t="shared" si="96"/>
        <v>0</v>
      </c>
      <c r="BB112" s="58">
        <f t="shared" si="96"/>
        <v>0</v>
      </c>
      <c r="BC112" s="58">
        <f t="shared" si="96"/>
        <v>0</v>
      </c>
      <c r="BD112" s="58">
        <f t="shared" si="96"/>
        <v>0</v>
      </c>
      <c r="BE112" s="58">
        <f t="shared" si="96"/>
        <v>0</v>
      </c>
      <c r="BF112" s="58">
        <f t="shared" si="96"/>
        <v>0</v>
      </c>
      <c r="BG112" s="58">
        <f t="shared" si="96"/>
        <v>0</v>
      </c>
      <c r="BH112" s="58">
        <f t="shared" si="96"/>
        <v>0</v>
      </c>
      <c r="BI112" s="58">
        <f t="shared" si="96"/>
        <v>0</v>
      </c>
      <c r="BJ112" s="58">
        <f t="shared" si="96"/>
        <v>0</v>
      </c>
      <c r="BK112" s="58">
        <f t="shared" si="96"/>
        <v>0</v>
      </c>
      <c r="BL112" s="58">
        <f t="shared" si="96"/>
        <v>0</v>
      </c>
      <c r="BM112" s="58">
        <f t="shared" si="96"/>
        <v>0</v>
      </c>
      <c r="BN112" s="58">
        <f t="shared" si="96"/>
        <v>0</v>
      </c>
      <c r="BO112" s="58">
        <f t="shared" si="96"/>
        <v>0</v>
      </c>
    </row>
    <row r="113" spans="1:67" ht="12.75" customHeight="1" x14ac:dyDescent="0.2">
      <c r="C113" s="27" t="s">
        <v>531</v>
      </c>
      <c r="D113" s="27" t="s">
        <v>491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96">
        <f>MAX(R110-R111,0)</f>
        <v>0</v>
      </c>
      <c r="S113" s="96">
        <f>MAX(S110-S111,0)</f>
        <v>0</v>
      </c>
      <c r="T113" s="96">
        <f>MAX(T110-T111,0)</f>
        <v>0</v>
      </c>
      <c r="U113" s="96">
        <f>MAX(U110-U111,0)</f>
        <v>0</v>
      </c>
      <c r="V113" s="96">
        <f>MAX(V110-V111,0)</f>
        <v>0</v>
      </c>
      <c r="W113" s="96">
        <f t="shared" ref="W113:AU113" si="97">MAX(W110-W111,0)</f>
        <v>0</v>
      </c>
      <c r="X113" s="96">
        <f t="shared" si="97"/>
        <v>0</v>
      </c>
      <c r="Y113" s="96">
        <f t="shared" si="97"/>
        <v>0</v>
      </c>
      <c r="Z113" s="96">
        <f t="shared" si="97"/>
        <v>0</v>
      </c>
      <c r="AA113" s="96">
        <f t="shared" si="97"/>
        <v>0</v>
      </c>
      <c r="AB113" s="96">
        <f t="shared" si="97"/>
        <v>0</v>
      </c>
      <c r="AC113" s="96">
        <f t="shared" si="97"/>
        <v>0</v>
      </c>
      <c r="AD113" s="96">
        <f t="shared" si="97"/>
        <v>0</v>
      </c>
      <c r="AE113" s="96">
        <f t="shared" si="97"/>
        <v>0</v>
      </c>
      <c r="AF113" s="96">
        <f t="shared" si="97"/>
        <v>0</v>
      </c>
      <c r="AG113" s="96">
        <f t="shared" si="97"/>
        <v>0</v>
      </c>
      <c r="AH113" s="96">
        <f t="shared" si="97"/>
        <v>0</v>
      </c>
      <c r="AI113" s="96">
        <f t="shared" si="97"/>
        <v>0</v>
      </c>
      <c r="AJ113" s="96">
        <f t="shared" si="97"/>
        <v>0</v>
      </c>
      <c r="AK113" s="96">
        <f t="shared" si="97"/>
        <v>0</v>
      </c>
      <c r="AL113" s="96">
        <f t="shared" si="97"/>
        <v>0</v>
      </c>
      <c r="AM113" s="96">
        <f t="shared" si="97"/>
        <v>0</v>
      </c>
      <c r="AN113" s="96">
        <f t="shared" si="97"/>
        <v>0</v>
      </c>
      <c r="AO113" s="96">
        <f t="shared" si="97"/>
        <v>0</v>
      </c>
      <c r="AP113" s="96">
        <f t="shared" si="97"/>
        <v>0</v>
      </c>
      <c r="AQ113" s="96">
        <f t="shared" si="97"/>
        <v>0</v>
      </c>
      <c r="AR113" s="96">
        <f t="shared" si="97"/>
        <v>0</v>
      </c>
      <c r="AS113" s="96">
        <f t="shared" si="97"/>
        <v>0</v>
      </c>
      <c r="AT113" s="96">
        <f t="shared" si="97"/>
        <v>0</v>
      </c>
      <c r="AU113" s="96">
        <f t="shared" si="97"/>
        <v>0</v>
      </c>
      <c r="AV113" s="96">
        <f t="shared" ref="AV113:BO113" si="98">MAX(AV110-AV111,0)</f>
        <v>0</v>
      </c>
      <c r="AW113" s="96">
        <f t="shared" si="98"/>
        <v>0</v>
      </c>
      <c r="AX113" s="96">
        <f t="shared" si="98"/>
        <v>0</v>
      </c>
      <c r="AY113" s="96">
        <f t="shared" si="98"/>
        <v>0</v>
      </c>
      <c r="AZ113" s="96">
        <f t="shared" si="98"/>
        <v>0</v>
      </c>
      <c r="BA113" s="96">
        <f t="shared" si="98"/>
        <v>0</v>
      </c>
      <c r="BB113" s="96">
        <f t="shared" si="98"/>
        <v>0</v>
      </c>
      <c r="BC113" s="96">
        <f t="shared" si="98"/>
        <v>0</v>
      </c>
      <c r="BD113" s="96">
        <f t="shared" si="98"/>
        <v>0</v>
      </c>
      <c r="BE113" s="96">
        <f t="shared" si="98"/>
        <v>0</v>
      </c>
      <c r="BF113" s="96">
        <f t="shared" si="98"/>
        <v>0</v>
      </c>
      <c r="BG113" s="96">
        <f t="shared" si="98"/>
        <v>0</v>
      </c>
      <c r="BH113" s="96">
        <f t="shared" si="98"/>
        <v>0</v>
      </c>
      <c r="BI113" s="96">
        <f t="shared" si="98"/>
        <v>0</v>
      </c>
      <c r="BJ113" s="96">
        <f t="shared" si="98"/>
        <v>0</v>
      </c>
      <c r="BK113" s="96">
        <f t="shared" si="98"/>
        <v>0</v>
      </c>
      <c r="BL113" s="96">
        <f t="shared" si="98"/>
        <v>0</v>
      </c>
      <c r="BM113" s="96">
        <f t="shared" si="98"/>
        <v>0</v>
      </c>
      <c r="BN113" s="96">
        <f t="shared" si="98"/>
        <v>0</v>
      </c>
      <c r="BO113" s="96">
        <f t="shared" si="98"/>
        <v>0</v>
      </c>
    </row>
    <row r="114" spans="1:67" ht="12.75" customHeight="1" x14ac:dyDescent="0.2">
      <c r="C114" s="27" t="s">
        <v>532</v>
      </c>
      <c r="D114" s="27" t="s">
        <v>491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58">
        <f>R110-R112-R113</f>
        <v>0</v>
      </c>
      <c r="S114" s="58">
        <f>S110-S112-S113</f>
        <v>0</v>
      </c>
      <c r="T114" s="58">
        <f>T110-T112-T113</f>
        <v>0</v>
      </c>
      <c r="U114" s="58">
        <f>U110-U112-U113</f>
        <v>0</v>
      </c>
      <c r="V114" s="58">
        <f>V110-V112-V113</f>
        <v>0</v>
      </c>
      <c r="W114" s="58">
        <f t="shared" ref="W114:AU114" si="99">W110-W112-W113</f>
        <v>0</v>
      </c>
      <c r="X114" s="58">
        <f t="shared" si="99"/>
        <v>0</v>
      </c>
      <c r="Y114" s="58">
        <f t="shared" si="99"/>
        <v>0</v>
      </c>
      <c r="Z114" s="58">
        <f t="shared" si="99"/>
        <v>0</v>
      </c>
      <c r="AA114" s="58">
        <f t="shared" si="99"/>
        <v>0</v>
      </c>
      <c r="AB114" s="58">
        <f t="shared" si="99"/>
        <v>0</v>
      </c>
      <c r="AC114" s="58">
        <f t="shared" si="99"/>
        <v>0</v>
      </c>
      <c r="AD114" s="58">
        <f t="shared" si="99"/>
        <v>0</v>
      </c>
      <c r="AE114" s="58">
        <f t="shared" si="99"/>
        <v>0</v>
      </c>
      <c r="AF114" s="58">
        <f t="shared" si="99"/>
        <v>0</v>
      </c>
      <c r="AG114" s="58">
        <f t="shared" si="99"/>
        <v>0</v>
      </c>
      <c r="AH114" s="58">
        <f t="shared" si="99"/>
        <v>0</v>
      </c>
      <c r="AI114" s="58">
        <f t="shared" si="99"/>
        <v>0</v>
      </c>
      <c r="AJ114" s="58">
        <f t="shared" si="99"/>
        <v>0</v>
      </c>
      <c r="AK114" s="58">
        <f t="shared" si="99"/>
        <v>0</v>
      </c>
      <c r="AL114" s="58">
        <f t="shared" si="99"/>
        <v>0</v>
      </c>
      <c r="AM114" s="58">
        <f t="shared" si="99"/>
        <v>0</v>
      </c>
      <c r="AN114" s="58">
        <f t="shared" si="99"/>
        <v>0</v>
      </c>
      <c r="AO114" s="58">
        <f t="shared" si="99"/>
        <v>0</v>
      </c>
      <c r="AP114" s="58">
        <f t="shared" si="99"/>
        <v>0</v>
      </c>
      <c r="AQ114" s="58">
        <f t="shared" si="99"/>
        <v>0</v>
      </c>
      <c r="AR114" s="58">
        <f t="shared" si="99"/>
        <v>0</v>
      </c>
      <c r="AS114" s="58">
        <f t="shared" si="99"/>
        <v>0</v>
      </c>
      <c r="AT114" s="58">
        <f t="shared" si="99"/>
        <v>0</v>
      </c>
      <c r="AU114" s="58">
        <f t="shared" si="99"/>
        <v>0</v>
      </c>
      <c r="AV114" s="58">
        <f t="shared" ref="AV114:BO114" si="100">AV110-AV112-AV113</f>
        <v>0</v>
      </c>
      <c r="AW114" s="58">
        <f t="shared" si="100"/>
        <v>0</v>
      </c>
      <c r="AX114" s="58">
        <f t="shared" si="100"/>
        <v>0</v>
      </c>
      <c r="AY114" s="58">
        <f t="shared" si="100"/>
        <v>0</v>
      </c>
      <c r="AZ114" s="58">
        <f t="shared" si="100"/>
        <v>0</v>
      </c>
      <c r="BA114" s="58">
        <f t="shared" si="100"/>
        <v>0</v>
      </c>
      <c r="BB114" s="58">
        <f t="shared" si="100"/>
        <v>0</v>
      </c>
      <c r="BC114" s="58">
        <f t="shared" si="100"/>
        <v>0</v>
      </c>
      <c r="BD114" s="58">
        <f t="shared" si="100"/>
        <v>0</v>
      </c>
      <c r="BE114" s="58">
        <f t="shared" si="100"/>
        <v>0</v>
      </c>
      <c r="BF114" s="58">
        <f t="shared" si="100"/>
        <v>0</v>
      </c>
      <c r="BG114" s="58">
        <f t="shared" si="100"/>
        <v>0</v>
      </c>
      <c r="BH114" s="58">
        <f t="shared" si="100"/>
        <v>0</v>
      </c>
      <c r="BI114" s="58">
        <f t="shared" si="100"/>
        <v>0</v>
      </c>
      <c r="BJ114" s="58">
        <f t="shared" si="100"/>
        <v>0</v>
      </c>
      <c r="BK114" s="58">
        <f t="shared" si="100"/>
        <v>0</v>
      </c>
      <c r="BL114" s="58">
        <f t="shared" si="100"/>
        <v>0</v>
      </c>
      <c r="BM114" s="58">
        <f t="shared" si="100"/>
        <v>0</v>
      </c>
      <c r="BN114" s="58">
        <f t="shared" si="100"/>
        <v>0</v>
      </c>
      <c r="BO114" s="58">
        <f t="shared" si="100"/>
        <v>0</v>
      </c>
    </row>
    <row r="115" spans="1:67" ht="12.75" customHeight="1" x14ac:dyDescent="0.2">
      <c r="C115" s="27"/>
      <c r="D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9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</row>
    <row r="116" spans="1:67" ht="12.75" customHeight="1" x14ac:dyDescent="0.2">
      <c r="C116" s="27" t="s">
        <v>232</v>
      </c>
      <c r="D116" s="27" t="s">
        <v>491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58">
        <f t="shared" ref="R116:AV116" si="101">$E$12*R101</f>
        <v>1.3351895743852954E-2</v>
      </c>
      <c r="S116" s="58">
        <f t="shared" si="101"/>
        <v>1.3351895743852954E-2</v>
      </c>
      <c r="T116" s="58">
        <f t="shared" si="101"/>
        <v>1.3351895743852954E-2</v>
      </c>
      <c r="U116" s="58">
        <f t="shared" si="101"/>
        <v>1.3351895743852954E-2</v>
      </c>
      <c r="V116" s="58">
        <f t="shared" si="101"/>
        <v>1.3351895743852954E-2</v>
      </c>
      <c r="W116" s="58">
        <f t="shared" si="101"/>
        <v>1.3351895743852954E-2</v>
      </c>
      <c r="X116" s="58">
        <f t="shared" si="101"/>
        <v>1.3351895743852954E-2</v>
      </c>
      <c r="Y116" s="58">
        <f t="shared" si="101"/>
        <v>1.3351895743852954E-2</v>
      </c>
      <c r="Z116" s="58">
        <f t="shared" si="101"/>
        <v>1.3351895743852954E-2</v>
      </c>
      <c r="AA116" s="58">
        <f t="shared" si="101"/>
        <v>1.3351895743852954E-2</v>
      </c>
      <c r="AB116" s="58">
        <f t="shared" si="101"/>
        <v>1.3351895743852954E-2</v>
      </c>
      <c r="AC116" s="58">
        <f t="shared" si="101"/>
        <v>1.3351895743852954E-2</v>
      </c>
      <c r="AD116" s="58">
        <f t="shared" si="101"/>
        <v>1.3351895743852954E-2</v>
      </c>
      <c r="AE116" s="58">
        <f t="shared" si="101"/>
        <v>1.3351895743852954E-2</v>
      </c>
      <c r="AF116" s="58">
        <f t="shared" si="101"/>
        <v>1.3351895743852954E-2</v>
      </c>
      <c r="AG116" s="58">
        <f t="shared" si="101"/>
        <v>1.3351895743852954E-2</v>
      </c>
      <c r="AH116" s="58">
        <f t="shared" si="101"/>
        <v>1.3351895743852954E-2</v>
      </c>
      <c r="AI116" s="58">
        <f t="shared" si="101"/>
        <v>1.3351895743852954E-2</v>
      </c>
      <c r="AJ116" s="58">
        <f t="shared" si="101"/>
        <v>1.3351895743852954E-2</v>
      </c>
      <c r="AK116" s="58">
        <f t="shared" si="101"/>
        <v>1.3351895743852954E-2</v>
      </c>
      <c r="AL116" s="58">
        <f t="shared" si="101"/>
        <v>1.3351895743852954E-2</v>
      </c>
      <c r="AM116" s="58">
        <f t="shared" si="101"/>
        <v>1.3351895743852954E-2</v>
      </c>
      <c r="AN116" s="58">
        <f t="shared" si="101"/>
        <v>1.3351895743852954E-2</v>
      </c>
      <c r="AO116" s="58">
        <f t="shared" si="101"/>
        <v>1.3351895743852954E-2</v>
      </c>
      <c r="AP116" s="58">
        <f t="shared" si="101"/>
        <v>1.3351895743852954E-2</v>
      </c>
      <c r="AQ116" s="58">
        <f t="shared" si="101"/>
        <v>1.3351895743852954E-2</v>
      </c>
      <c r="AR116" s="58">
        <f t="shared" si="101"/>
        <v>1.3351895743852954E-2</v>
      </c>
      <c r="AS116" s="58">
        <f t="shared" si="101"/>
        <v>1.3351895743852954E-2</v>
      </c>
      <c r="AT116" s="58">
        <f t="shared" si="101"/>
        <v>1.3351895743852954E-2</v>
      </c>
      <c r="AU116" s="58">
        <f t="shared" si="101"/>
        <v>1.3351895743852954E-2</v>
      </c>
      <c r="AV116" s="58">
        <f t="shared" si="101"/>
        <v>0</v>
      </c>
      <c r="AW116" s="58">
        <f t="shared" ref="AW116:BO116" si="102">$E$12*AW101</f>
        <v>0</v>
      </c>
      <c r="AX116" s="58">
        <f t="shared" si="102"/>
        <v>0</v>
      </c>
      <c r="AY116" s="58">
        <f t="shared" si="102"/>
        <v>0</v>
      </c>
      <c r="AZ116" s="58">
        <f t="shared" si="102"/>
        <v>0</v>
      </c>
      <c r="BA116" s="58">
        <f t="shared" si="102"/>
        <v>0</v>
      </c>
      <c r="BB116" s="58">
        <f t="shared" si="102"/>
        <v>0</v>
      </c>
      <c r="BC116" s="58">
        <f t="shared" si="102"/>
        <v>0</v>
      </c>
      <c r="BD116" s="58">
        <f t="shared" si="102"/>
        <v>0</v>
      </c>
      <c r="BE116" s="58">
        <f t="shared" si="102"/>
        <v>0</v>
      </c>
      <c r="BF116" s="58">
        <f t="shared" si="102"/>
        <v>0</v>
      </c>
      <c r="BG116" s="58">
        <f t="shared" si="102"/>
        <v>0</v>
      </c>
      <c r="BH116" s="58">
        <f t="shared" si="102"/>
        <v>0</v>
      </c>
      <c r="BI116" s="58">
        <f t="shared" si="102"/>
        <v>0</v>
      </c>
      <c r="BJ116" s="58">
        <f t="shared" si="102"/>
        <v>0</v>
      </c>
      <c r="BK116" s="58">
        <f t="shared" si="102"/>
        <v>0</v>
      </c>
      <c r="BL116" s="58">
        <f t="shared" si="102"/>
        <v>0</v>
      </c>
      <c r="BM116" s="58">
        <f t="shared" si="102"/>
        <v>0</v>
      </c>
      <c r="BN116" s="58">
        <f t="shared" si="102"/>
        <v>0</v>
      </c>
      <c r="BO116" s="58">
        <f t="shared" si="102"/>
        <v>0</v>
      </c>
    </row>
    <row r="117" spans="1:67" ht="12.75" customHeight="1" x14ac:dyDescent="0.2">
      <c r="C117" s="27"/>
      <c r="D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</row>
    <row r="118" spans="1:67" ht="12.75" customHeight="1" x14ac:dyDescent="0.2">
      <c r="C118" s="27"/>
      <c r="D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</row>
    <row r="119" spans="1:67" ht="12.75" customHeight="1" x14ac:dyDescent="0.2">
      <c r="A119" s="28" t="s">
        <v>510</v>
      </c>
      <c r="C119" s="27"/>
      <c r="D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</row>
    <row r="120" spans="1:67" ht="12.75" customHeight="1" x14ac:dyDescent="0.2">
      <c r="A120" s="1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</row>
    <row r="121" spans="1:67" ht="12.75" customHeight="1" x14ac:dyDescent="0.2">
      <c r="A121" s="116" t="s">
        <v>216</v>
      </c>
      <c r="B121" s="25"/>
      <c r="C121" s="117" t="s">
        <v>215</v>
      </c>
      <c r="D121" s="117" t="s">
        <v>19</v>
      </c>
      <c r="E121" s="25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 t="s">
        <v>214</v>
      </c>
      <c r="S121" s="25">
        <f>S$44</f>
        <v>2025</v>
      </c>
      <c r="T121" s="25">
        <f t="shared" ref="T121:BO121" si="103">T$44</f>
        <v>2026</v>
      </c>
      <c r="U121" s="25">
        <f t="shared" si="103"/>
        <v>2027</v>
      </c>
      <c r="V121" s="25">
        <f t="shared" si="103"/>
        <v>2028</v>
      </c>
      <c r="W121" s="25">
        <f t="shared" si="103"/>
        <v>2029</v>
      </c>
      <c r="X121" s="25">
        <f t="shared" si="103"/>
        <v>2030</v>
      </c>
      <c r="Y121" s="25">
        <f t="shared" si="103"/>
        <v>2031</v>
      </c>
      <c r="Z121" s="25">
        <f t="shared" si="103"/>
        <v>2032</v>
      </c>
      <c r="AA121" s="25">
        <f t="shared" si="103"/>
        <v>2033</v>
      </c>
      <c r="AB121" s="25">
        <f t="shared" si="103"/>
        <v>2034</v>
      </c>
      <c r="AC121" s="25">
        <f t="shared" si="103"/>
        <v>2035</v>
      </c>
      <c r="AD121" s="25">
        <f t="shared" si="103"/>
        <v>2036</v>
      </c>
      <c r="AE121" s="25">
        <f t="shared" si="103"/>
        <v>2037</v>
      </c>
      <c r="AF121" s="25">
        <f t="shared" si="103"/>
        <v>2038</v>
      </c>
      <c r="AG121" s="25">
        <f t="shared" si="103"/>
        <v>2039</v>
      </c>
      <c r="AH121" s="25">
        <f t="shared" si="103"/>
        <v>2040</v>
      </c>
      <c r="AI121" s="25">
        <f t="shared" si="103"/>
        <v>2041</v>
      </c>
      <c r="AJ121" s="25">
        <f t="shared" si="103"/>
        <v>2042</v>
      </c>
      <c r="AK121" s="25">
        <f t="shared" si="103"/>
        <v>2043</v>
      </c>
      <c r="AL121" s="25">
        <f t="shared" si="103"/>
        <v>2044</v>
      </c>
      <c r="AM121" s="25">
        <f t="shared" si="103"/>
        <v>2045</v>
      </c>
      <c r="AN121" s="25">
        <f t="shared" si="103"/>
        <v>2046</v>
      </c>
      <c r="AO121" s="25">
        <f t="shared" si="103"/>
        <v>2047</v>
      </c>
      <c r="AP121" s="25">
        <f t="shared" si="103"/>
        <v>2048</v>
      </c>
      <c r="AQ121" s="25">
        <f t="shared" si="103"/>
        <v>2049</v>
      </c>
      <c r="AR121" s="25">
        <f t="shared" si="103"/>
        <v>2050</v>
      </c>
      <c r="AS121" s="25">
        <f t="shared" si="103"/>
        <v>2051</v>
      </c>
      <c r="AT121" s="25">
        <f t="shared" si="103"/>
        <v>2052</v>
      </c>
      <c r="AU121" s="25">
        <f t="shared" si="103"/>
        <v>2053</v>
      </c>
      <c r="AV121" s="25">
        <f t="shared" si="103"/>
        <v>2054</v>
      </c>
      <c r="AW121" s="25">
        <f t="shared" si="103"/>
        <v>2055</v>
      </c>
      <c r="AX121" s="25">
        <f t="shared" si="103"/>
        <v>2056</v>
      </c>
      <c r="AY121" s="25">
        <f t="shared" si="103"/>
        <v>2057</v>
      </c>
      <c r="AZ121" s="25">
        <f t="shared" si="103"/>
        <v>2058</v>
      </c>
      <c r="BA121" s="25">
        <f t="shared" si="103"/>
        <v>2059</v>
      </c>
      <c r="BB121" s="25">
        <f t="shared" si="103"/>
        <v>2060</v>
      </c>
      <c r="BC121" s="25">
        <f t="shared" si="103"/>
        <v>2061</v>
      </c>
      <c r="BD121" s="25">
        <f t="shared" si="103"/>
        <v>2062</v>
      </c>
      <c r="BE121" s="25">
        <f t="shared" si="103"/>
        <v>2063</v>
      </c>
      <c r="BF121" s="25">
        <f t="shared" si="103"/>
        <v>2064</v>
      </c>
      <c r="BG121" s="25">
        <f t="shared" si="103"/>
        <v>2065</v>
      </c>
      <c r="BH121" s="25">
        <f t="shared" si="103"/>
        <v>2066</v>
      </c>
      <c r="BI121" s="25">
        <f t="shared" si="103"/>
        <v>2067</v>
      </c>
      <c r="BJ121" s="25">
        <f t="shared" si="103"/>
        <v>2068</v>
      </c>
      <c r="BK121" s="25">
        <f t="shared" si="103"/>
        <v>2069</v>
      </c>
      <c r="BL121" s="25">
        <f t="shared" si="103"/>
        <v>2070</v>
      </c>
      <c r="BM121" s="25">
        <f t="shared" si="103"/>
        <v>2071</v>
      </c>
      <c r="BN121" s="25">
        <f t="shared" si="103"/>
        <v>2072</v>
      </c>
      <c r="BO121" s="25">
        <f t="shared" si="103"/>
        <v>2073</v>
      </c>
    </row>
    <row r="122" spans="1:67" ht="12.75" customHeight="1" x14ac:dyDescent="0.2">
      <c r="A122" s="115">
        <v>1</v>
      </c>
      <c r="B122" s="16" t="s">
        <v>498</v>
      </c>
      <c r="D122" s="27"/>
    </row>
    <row r="123" spans="1:67" ht="12.75" customHeight="1" x14ac:dyDescent="0.2">
      <c r="A123" s="115">
        <v>2</v>
      </c>
      <c r="C123" s="23" t="s">
        <v>315</v>
      </c>
      <c r="D123" s="23" t="s">
        <v>221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54">
        <f>$E$19</f>
        <v>1.7999999999999999E-2</v>
      </c>
      <c r="S123" s="54">
        <f t="shared" ref="S123:BO123" si="104">$E$19</f>
        <v>1.7999999999999999E-2</v>
      </c>
      <c r="T123" s="54">
        <f t="shared" si="104"/>
        <v>1.7999999999999999E-2</v>
      </c>
      <c r="U123" s="54">
        <f t="shared" si="104"/>
        <v>1.7999999999999999E-2</v>
      </c>
      <c r="V123" s="54">
        <f t="shared" si="104"/>
        <v>1.7999999999999999E-2</v>
      </c>
      <c r="W123" s="54">
        <f t="shared" si="104"/>
        <v>1.7999999999999999E-2</v>
      </c>
      <c r="X123" s="54">
        <f t="shared" si="104"/>
        <v>1.7999999999999999E-2</v>
      </c>
      <c r="Y123" s="54">
        <f t="shared" si="104"/>
        <v>1.7999999999999999E-2</v>
      </c>
      <c r="Z123" s="54">
        <f t="shared" si="104"/>
        <v>1.7999999999999999E-2</v>
      </c>
      <c r="AA123" s="54">
        <f t="shared" si="104"/>
        <v>1.7999999999999999E-2</v>
      </c>
      <c r="AB123" s="54">
        <f t="shared" si="104"/>
        <v>1.7999999999999999E-2</v>
      </c>
      <c r="AC123" s="54">
        <f t="shared" si="104"/>
        <v>1.7999999999999999E-2</v>
      </c>
      <c r="AD123" s="54">
        <f t="shared" si="104"/>
        <v>1.7999999999999999E-2</v>
      </c>
      <c r="AE123" s="54">
        <f t="shared" si="104"/>
        <v>1.7999999999999999E-2</v>
      </c>
      <c r="AF123" s="54">
        <f t="shared" si="104"/>
        <v>1.7999999999999999E-2</v>
      </c>
      <c r="AG123" s="54">
        <f t="shared" si="104"/>
        <v>1.7999999999999999E-2</v>
      </c>
      <c r="AH123" s="54">
        <f t="shared" si="104"/>
        <v>1.7999999999999999E-2</v>
      </c>
      <c r="AI123" s="54">
        <f t="shared" si="104"/>
        <v>1.7999999999999999E-2</v>
      </c>
      <c r="AJ123" s="54">
        <f t="shared" si="104"/>
        <v>1.7999999999999999E-2</v>
      </c>
      <c r="AK123" s="54">
        <f t="shared" si="104"/>
        <v>1.7999999999999999E-2</v>
      </c>
      <c r="AL123" s="54">
        <f t="shared" si="104"/>
        <v>1.7999999999999999E-2</v>
      </c>
      <c r="AM123" s="54">
        <f t="shared" si="104"/>
        <v>1.7999999999999999E-2</v>
      </c>
      <c r="AN123" s="54">
        <f t="shared" si="104"/>
        <v>1.7999999999999999E-2</v>
      </c>
      <c r="AO123" s="54">
        <f t="shared" si="104"/>
        <v>1.7999999999999999E-2</v>
      </c>
      <c r="AP123" s="54">
        <f t="shared" si="104"/>
        <v>1.7999999999999999E-2</v>
      </c>
      <c r="AQ123" s="54">
        <f t="shared" si="104"/>
        <v>1.7999999999999999E-2</v>
      </c>
      <c r="AR123" s="54">
        <f t="shared" si="104"/>
        <v>1.7999999999999999E-2</v>
      </c>
      <c r="AS123" s="54">
        <f t="shared" si="104"/>
        <v>1.7999999999999999E-2</v>
      </c>
      <c r="AT123" s="54">
        <f t="shared" si="104"/>
        <v>1.7999999999999999E-2</v>
      </c>
      <c r="AU123" s="54">
        <f t="shared" si="104"/>
        <v>1.7999999999999999E-2</v>
      </c>
      <c r="AV123" s="54">
        <f t="shared" si="104"/>
        <v>1.7999999999999999E-2</v>
      </c>
      <c r="AW123" s="54">
        <f t="shared" si="104"/>
        <v>1.7999999999999999E-2</v>
      </c>
      <c r="AX123" s="54">
        <f t="shared" si="104"/>
        <v>1.7999999999999999E-2</v>
      </c>
      <c r="AY123" s="54">
        <f t="shared" si="104"/>
        <v>1.7999999999999999E-2</v>
      </c>
      <c r="AZ123" s="54">
        <f t="shared" si="104"/>
        <v>1.7999999999999999E-2</v>
      </c>
      <c r="BA123" s="54">
        <f t="shared" si="104"/>
        <v>1.7999999999999999E-2</v>
      </c>
      <c r="BB123" s="54">
        <f t="shared" si="104"/>
        <v>1.7999999999999999E-2</v>
      </c>
      <c r="BC123" s="54">
        <f t="shared" si="104"/>
        <v>1.7999999999999999E-2</v>
      </c>
      <c r="BD123" s="54">
        <f t="shared" si="104"/>
        <v>1.7999999999999999E-2</v>
      </c>
      <c r="BE123" s="54">
        <f t="shared" si="104"/>
        <v>1.7999999999999999E-2</v>
      </c>
      <c r="BF123" s="54">
        <f t="shared" si="104"/>
        <v>1.7999999999999999E-2</v>
      </c>
      <c r="BG123" s="54">
        <f t="shared" si="104"/>
        <v>1.7999999999999999E-2</v>
      </c>
      <c r="BH123" s="54">
        <f t="shared" si="104"/>
        <v>1.7999999999999999E-2</v>
      </c>
      <c r="BI123" s="54">
        <f t="shared" si="104"/>
        <v>1.7999999999999999E-2</v>
      </c>
      <c r="BJ123" s="54">
        <f t="shared" si="104"/>
        <v>1.7999999999999999E-2</v>
      </c>
      <c r="BK123" s="54">
        <f t="shared" si="104"/>
        <v>1.7999999999999999E-2</v>
      </c>
      <c r="BL123" s="54">
        <f t="shared" si="104"/>
        <v>1.7999999999999999E-2</v>
      </c>
      <c r="BM123" s="54">
        <f t="shared" si="104"/>
        <v>1.7999999999999999E-2</v>
      </c>
      <c r="BN123" s="54">
        <f t="shared" si="104"/>
        <v>1.7999999999999999E-2</v>
      </c>
      <c r="BO123" s="54">
        <f t="shared" si="104"/>
        <v>1.7999999999999999E-2</v>
      </c>
    </row>
    <row r="124" spans="1:67" ht="12.75" customHeight="1" x14ac:dyDescent="0.2">
      <c r="A124" s="115">
        <v>3</v>
      </c>
      <c r="C124" s="17" t="s">
        <v>496</v>
      </c>
      <c r="D124" s="23" t="s">
        <v>221</v>
      </c>
      <c r="F124" s="42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68">
        <f t="shared" ref="R124" si="105">SUM(R123)</f>
        <v>1.7999999999999999E-2</v>
      </c>
      <c r="S124" s="68">
        <f t="shared" ref="S124:BO124" si="106">SUM(S123)</f>
        <v>1.7999999999999999E-2</v>
      </c>
      <c r="T124" s="68">
        <f t="shared" si="106"/>
        <v>1.7999999999999999E-2</v>
      </c>
      <c r="U124" s="68">
        <f t="shared" si="106"/>
        <v>1.7999999999999999E-2</v>
      </c>
      <c r="V124" s="68">
        <f t="shared" si="106"/>
        <v>1.7999999999999999E-2</v>
      </c>
      <c r="W124" s="68">
        <f t="shared" si="106"/>
        <v>1.7999999999999999E-2</v>
      </c>
      <c r="X124" s="68">
        <f t="shared" si="106"/>
        <v>1.7999999999999999E-2</v>
      </c>
      <c r="Y124" s="68">
        <f t="shared" si="106"/>
        <v>1.7999999999999999E-2</v>
      </c>
      <c r="Z124" s="68">
        <f t="shared" si="106"/>
        <v>1.7999999999999999E-2</v>
      </c>
      <c r="AA124" s="68">
        <f t="shared" si="106"/>
        <v>1.7999999999999999E-2</v>
      </c>
      <c r="AB124" s="68">
        <f t="shared" si="106"/>
        <v>1.7999999999999999E-2</v>
      </c>
      <c r="AC124" s="68">
        <f t="shared" si="106"/>
        <v>1.7999999999999999E-2</v>
      </c>
      <c r="AD124" s="68">
        <f t="shared" si="106"/>
        <v>1.7999999999999999E-2</v>
      </c>
      <c r="AE124" s="68">
        <f t="shared" si="106"/>
        <v>1.7999999999999999E-2</v>
      </c>
      <c r="AF124" s="68">
        <f t="shared" si="106"/>
        <v>1.7999999999999999E-2</v>
      </c>
      <c r="AG124" s="68">
        <f t="shared" si="106"/>
        <v>1.7999999999999999E-2</v>
      </c>
      <c r="AH124" s="68">
        <f t="shared" si="106"/>
        <v>1.7999999999999999E-2</v>
      </c>
      <c r="AI124" s="68">
        <f t="shared" si="106"/>
        <v>1.7999999999999999E-2</v>
      </c>
      <c r="AJ124" s="68">
        <f t="shared" si="106"/>
        <v>1.7999999999999999E-2</v>
      </c>
      <c r="AK124" s="68">
        <f t="shared" si="106"/>
        <v>1.7999999999999999E-2</v>
      </c>
      <c r="AL124" s="68">
        <f t="shared" si="106"/>
        <v>1.7999999999999999E-2</v>
      </c>
      <c r="AM124" s="68">
        <f t="shared" si="106"/>
        <v>1.7999999999999999E-2</v>
      </c>
      <c r="AN124" s="68">
        <f t="shared" si="106"/>
        <v>1.7999999999999999E-2</v>
      </c>
      <c r="AO124" s="68">
        <f t="shared" si="106"/>
        <v>1.7999999999999999E-2</v>
      </c>
      <c r="AP124" s="68">
        <f t="shared" si="106"/>
        <v>1.7999999999999999E-2</v>
      </c>
      <c r="AQ124" s="68">
        <f t="shared" si="106"/>
        <v>1.7999999999999999E-2</v>
      </c>
      <c r="AR124" s="68">
        <f t="shared" si="106"/>
        <v>1.7999999999999999E-2</v>
      </c>
      <c r="AS124" s="68">
        <f t="shared" si="106"/>
        <v>1.7999999999999999E-2</v>
      </c>
      <c r="AT124" s="68">
        <f t="shared" si="106"/>
        <v>1.7999999999999999E-2</v>
      </c>
      <c r="AU124" s="68">
        <f t="shared" si="106"/>
        <v>1.7999999999999999E-2</v>
      </c>
      <c r="AV124" s="68">
        <f t="shared" si="106"/>
        <v>1.7999999999999999E-2</v>
      </c>
      <c r="AW124" s="68">
        <f t="shared" si="106"/>
        <v>1.7999999999999999E-2</v>
      </c>
      <c r="AX124" s="68">
        <f t="shared" si="106"/>
        <v>1.7999999999999999E-2</v>
      </c>
      <c r="AY124" s="68">
        <f t="shared" si="106"/>
        <v>1.7999999999999999E-2</v>
      </c>
      <c r="AZ124" s="68">
        <f t="shared" si="106"/>
        <v>1.7999999999999999E-2</v>
      </c>
      <c r="BA124" s="68">
        <f t="shared" si="106"/>
        <v>1.7999999999999999E-2</v>
      </c>
      <c r="BB124" s="68">
        <f t="shared" si="106"/>
        <v>1.7999999999999999E-2</v>
      </c>
      <c r="BC124" s="68">
        <f t="shared" si="106"/>
        <v>1.7999999999999999E-2</v>
      </c>
      <c r="BD124" s="68">
        <f t="shared" si="106"/>
        <v>1.7999999999999999E-2</v>
      </c>
      <c r="BE124" s="68">
        <f t="shared" si="106"/>
        <v>1.7999999999999999E-2</v>
      </c>
      <c r="BF124" s="68">
        <f t="shared" si="106"/>
        <v>1.7999999999999999E-2</v>
      </c>
      <c r="BG124" s="68">
        <f t="shared" si="106"/>
        <v>1.7999999999999999E-2</v>
      </c>
      <c r="BH124" s="68">
        <f t="shared" si="106"/>
        <v>1.7999999999999999E-2</v>
      </c>
      <c r="BI124" s="68">
        <f t="shared" si="106"/>
        <v>1.7999999999999999E-2</v>
      </c>
      <c r="BJ124" s="68">
        <f t="shared" si="106"/>
        <v>1.7999999999999999E-2</v>
      </c>
      <c r="BK124" s="68">
        <f t="shared" si="106"/>
        <v>1.7999999999999999E-2</v>
      </c>
      <c r="BL124" s="68">
        <f t="shared" si="106"/>
        <v>1.7999999999999999E-2</v>
      </c>
      <c r="BM124" s="68">
        <f t="shared" si="106"/>
        <v>1.7999999999999999E-2</v>
      </c>
      <c r="BN124" s="68">
        <f t="shared" si="106"/>
        <v>1.7999999999999999E-2</v>
      </c>
      <c r="BO124" s="68">
        <f t="shared" si="106"/>
        <v>1.7999999999999999E-2</v>
      </c>
    </row>
    <row r="125" spans="1:67" ht="12.75" customHeight="1" x14ac:dyDescent="0.2">
      <c r="A125" s="115">
        <v>4</v>
      </c>
      <c r="C125" s="17"/>
      <c r="D125" s="27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</row>
    <row r="126" spans="1:67" ht="12.75" customHeight="1" x14ac:dyDescent="0.2">
      <c r="A126" s="115">
        <v>5</v>
      </c>
      <c r="B126" s="17" t="s">
        <v>9</v>
      </c>
      <c r="C126" s="15"/>
      <c r="D126" s="27"/>
      <c r="F126" s="30"/>
    </row>
    <row r="127" spans="1:67" ht="12.75" customHeight="1" x14ac:dyDescent="0.2">
      <c r="A127" s="115">
        <v>6</v>
      </c>
      <c r="B127" s="16"/>
      <c r="C127" s="23" t="s">
        <v>243</v>
      </c>
      <c r="D127" s="27" t="s">
        <v>491</v>
      </c>
      <c r="F127" s="47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61">
        <f>Q$60</f>
        <v>5.7720356457426396</v>
      </c>
      <c r="S127" s="61">
        <f t="shared" ref="S127:AX127" si="107">R129+S60</f>
        <v>5.7143152892852136</v>
      </c>
      <c r="T127" s="61">
        <f t="shared" si="107"/>
        <v>5.6565949328277876</v>
      </c>
      <c r="U127" s="61">
        <f t="shared" si="107"/>
        <v>5.5988745763703616</v>
      </c>
      <c r="V127" s="61">
        <f t="shared" si="107"/>
        <v>5.5411542199129356</v>
      </c>
      <c r="W127" s="61">
        <f t="shared" si="107"/>
        <v>5.4834338634555095</v>
      </c>
      <c r="X127" s="61">
        <f t="shared" si="107"/>
        <v>5.4257135069980835</v>
      </c>
      <c r="Y127" s="61">
        <f t="shared" si="107"/>
        <v>5.3679931505406575</v>
      </c>
      <c r="Z127" s="61">
        <f t="shared" si="107"/>
        <v>5.3102727940832315</v>
      </c>
      <c r="AA127" s="61">
        <f t="shared" si="107"/>
        <v>5.2525524376258055</v>
      </c>
      <c r="AB127" s="61">
        <f t="shared" si="107"/>
        <v>5.1948320811683795</v>
      </c>
      <c r="AC127" s="61">
        <f t="shared" si="107"/>
        <v>5.1371117247109535</v>
      </c>
      <c r="AD127" s="61">
        <f t="shared" si="107"/>
        <v>5.0793913682535274</v>
      </c>
      <c r="AE127" s="61">
        <f t="shared" si="107"/>
        <v>5.0216710117961014</v>
      </c>
      <c r="AF127" s="61">
        <f t="shared" si="107"/>
        <v>4.9639506553386754</v>
      </c>
      <c r="AG127" s="61">
        <f t="shared" si="107"/>
        <v>4.9062302988812494</v>
      </c>
      <c r="AH127" s="61">
        <f t="shared" si="107"/>
        <v>4.8485099424238234</v>
      </c>
      <c r="AI127" s="61">
        <f t="shared" si="107"/>
        <v>4.7907895859663974</v>
      </c>
      <c r="AJ127" s="61">
        <f t="shared" si="107"/>
        <v>4.7330692295089714</v>
      </c>
      <c r="AK127" s="61">
        <f t="shared" si="107"/>
        <v>4.6753488730515453</v>
      </c>
      <c r="AL127" s="61">
        <f t="shared" si="107"/>
        <v>4.6176285165941193</v>
      </c>
      <c r="AM127" s="61">
        <f t="shared" si="107"/>
        <v>4.5599081601366933</v>
      </c>
      <c r="AN127" s="61">
        <f t="shared" si="107"/>
        <v>4.5021878036792673</v>
      </c>
      <c r="AO127" s="61">
        <f t="shared" si="107"/>
        <v>4.4444674472218413</v>
      </c>
      <c r="AP127" s="61">
        <f t="shared" si="107"/>
        <v>4.3867470907644153</v>
      </c>
      <c r="AQ127" s="61">
        <f t="shared" si="107"/>
        <v>4.3290267343069893</v>
      </c>
      <c r="AR127" s="61">
        <f t="shared" si="107"/>
        <v>4.2713063778495632</v>
      </c>
      <c r="AS127" s="61">
        <f t="shared" si="107"/>
        <v>4.2135860213921372</v>
      </c>
      <c r="AT127" s="61">
        <f t="shared" si="107"/>
        <v>4.1558656649347112</v>
      </c>
      <c r="AU127" s="61">
        <f t="shared" si="107"/>
        <v>4.0981453084772852</v>
      </c>
      <c r="AV127" s="61">
        <f t="shared" si="107"/>
        <v>4.0404249520198592</v>
      </c>
      <c r="AW127" s="61">
        <f t="shared" si="107"/>
        <v>3.9827045955624327</v>
      </c>
      <c r="AX127" s="61">
        <f t="shared" si="107"/>
        <v>3.9249842391050063</v>
      </c>
      <c r="AY127" s="61">
        <f t="shared" ref="AY127:BO127" si="108">AX129+AY60</f>
        <v>3.8672638826475798</v>
      </c>
      <c r="AZ127" s="61">
        <f t="shared" si="108"/>
        <v>3.8095435261901534</v>
      </c>
      <c r="BA127" s="61">
        <f t="shared" si="108"/>
        <v>3.7518231697327269</v>
      </c>
      <c r="BB127" s="61">
        <f t="shared" si="108"/>
        <v>3.6941028132753004</v>
      </c>
      <c r="BC127" s="61">
        <f t="shared" si="108"/>
        <v>3.636382456817874</v>
      </c>
      <c r="BD127" s="61">
        <f t="shared" si="108"/>
        <v>3.5786621003604475</v>
      </c>
      <c r="BE127" s="61">
        <f t="shared" si="108"/>
        <v>3.5209417439030211</v>
      </c>
      <c r="BF127" s="61">
        <f t="shared" si="108"/>
        <v>3.4632213874455946</v>
      </c>
      <c r="BG127" s="61">
        <f t="shared" si="108"/>
        <v>3.4055010309881681</v>
      </c>
      <c r="BH127" s="61">
        <f t="shared" si="108"/>
        <v>3.3477806745307417</v>
      </c>
      <c r="BI127" s="61">
        <f t="shared" si="108"/>
        <v>3.2900603180733152</v>
      </c>
      <c r="BJ127" s="61">
        <f t="shared" si="108"/>
        <v>3.2323399616158888</v>
      </c>
      <c r="BK127" s="61">
        <f t="shared" si="108"/>
        <v>3.1746196051584623</v>
      </c>
      <c r="BL127" s="61">
        <f t="shared" si="108"/>
        <v>3.1168992487010359</v>
      </c>
      <c r="BM127" s="61">
        <f t="shared" si="108"/>
        <v>3.0591788922436094</v>
      </c>
      <c r="BN127" s="61">
        <f t="shared" si="108"/>
        <v>3.0014585357861829</v>
      </c>
      <c r="BO127" s="61">
        <f t="shared" si="108"/>
        <v>2.9437381793287565</v>
      </c>
    </row>
    <row r="128" spans="1:67" ht="12.75" customHeight="1" x14ac:dyDescent="0.2">
      <c r="A128" s="115">
        <v>7</v>
      </c>
      <c r="B128" s="16"/>
      <c r="C128" s="23" t="s">
        <v>9</v>
      </c>
      <c r="D128" s="27" t="s">
        <v>491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62">
        <f t="shared" ref="R128:AW128" si="109">IF(R127&gt;0.001,$R$127/$E$8,0)</f>
        <v>5.7720356457426396E-2</v>
      </c>
      <c r="S128" s="62">
        <f t="shared" si="109"/>
        <v>5.7720356457426396E-2</v>
      </c>
      <c r="T128" s="62">
        <f t="shared" si="109"/>
        <v>5.7720356457426396E-2</v>
      </c>
      <c r="U128" s="62">
        <f t="shared" si="109"/>
        <v>5.7720356457426396E-2</v>
      </c>
      <c r="V128" s="62">
        <f t="shared" si="109"/>
        <v>5.7720356457426396E-2</v>
      </c>
      <c r="W128" s="62">
        <f t="shared" si="109"/>
        <v>5.7720356457426396E-2</v>
      </c>
      <c r="X128" s="62">
        <f t="shared" si="109"/>
        <v>5.7720356457426396E-2</v>
      </c>
      <c r="Y128" s="62">
        <f t="shared" si="109"/>
        <v>5.7720356457426396E-2</v>
      </c>
      <c r="Z128" s="62">
        <f t="shared" si="109"/>
        <v>5.7720356457426396E-2</v>
      </c>
      <c r="AA128" s="62">
        <f t="shared" si="109"/>
        <v>5.7720356457426396E-2</v>
      </c>
      <c r="AB128" s="62">
        <f t="shared" si="109"/>
        <v>5.7720356457426396E-2</v>
      </c>
      <c r="AC128" s="62">
        <f t="shared" si="109"/>
        <v>5.7720356457426396E-2</v>
      </c>
      <c r="AD128" s="62">
        <f t="shared" si="109"/>
        <v>5.7720356457426396E-2</v>
      </c>
      <c r="AE128" s="62">
        <f t="shared" si="109"/>
        <v>5.7720356457426396E-2</v>
      </c>
      <c r="AF128" s="62">
        <f t="shared" si="109"/>
        <v>5.7720356457426396E-2</v>
      </c>
      <c r="AG128" s="62">
        <f t="shared" si="109"/>
        <v>5.7720356457426396E-2</v>
      </c>
      <c r="AH128" s="62">
        <f t="shared" si="109"/>
        <v>5.7720356457426396E-2</v>
      </c>
      <c r="AI128" s="62">
        <f t="shared" si="109"/>
        <v>5.7720356457426396E-2</v>
      </c>
      <c r="AJ128" s="62">
        <f t="shared" si="109"/>
        <v>5.7720356457426396E-2</v>
      </c>
      <c r="AK128" s="62">
        <f t="shared" si="109"/>
        <v>5.7720356457426396E-2</v>
      </c>
      <c r="AL128" s="62">
        <f t="shared" si="109"/>
        <v>5.7720356457426396E-2</v>
      </c>
      <c r="AM128" s="62">
        <f t="shared" si="109"/>
        <v>5.7720356457426396E-2</v>
      </c>
      <c r="AN128" s="62">
        <f t="shared" si="109"/>
        <v>5.7720356457426396E-2</v>
      </c>
      <c r="AO128" s="62">
        <f t="shared" si="109"/>
        <v>5.7720356457426396E-2</v>
      </c>
      <c r="AP128" s="62">
        <f t="shared" si="109"/>
        <v>5.7720356457426396E-2</v>
      </c>
      <c r="AQ128" s="62">
        <f t="shared" si="109"/>
        <v>5.7720356457426396E-2</v>
      </c>
      <c r="AR128" s="62">
        <f t="shared" si="109"/>
        <v>5.7720356457426396E-2</v>
      </c>
      <c r="AS128" s="62">
        <f t="shared" si="109"/>
        <v>5.7720356457426396E-2</v>
      </c>
      <c r="AT128" s="62">
        <f t="shared" si="109"/>
        <v>5.7720356457426396E-2</v>
      </c>
      <c r="AU128" s="62">
        <f t="shared" si="109"/>
        <v>5.7720356457426396E-2</v>
      </c>
      <c r="AV128" s="62">
        <f t="shared" si="109"/>
        <v>5.7720356457426396E-2</v>
      </c>
      <c r="AW128" s="62">
        <f t="shared" si="109"/>
        <v>5.7720356457426396E-2</v>
      </c>
      <c r="AX128" s="62">
        <f t="shared" ref="AX128:BO128" si="110">IF(AX127&gt;0.001,$R$127/$E$8,0)</f>
        <v>5.7720356457426396E-2</v>
      </c>
      <c r="AY128" s="62">
        <f t="shared" si="110"/>
        <v>5.7720356457426396E-2</v>
      </c>
      <c r="AZ128" s="62">
        <f t="shared" si="110"/>
        <v>5.7720356457426396E-2</v>
      </c>
      <c r="BA128" s="62">
        <f t="shared" si="110"/>
        <v>5.7720356457426396E-2</v>
      </c>
      <c r="BB128" s="62">
        <f t="shared" si="110"/>
        <v>5.7720356457426396E-2</v>
      </c>
      <c r="BC128" s="62">
        <f t="shared" si="110"/>
        <v>5.7720356457426396E-2</v>
      </c>
      <c r="BD128" s="62">
        <f t="shared" si="110"/>
        <v>5.7720356457426396E-2</v>
      </c>
      <c r="BE128" s="62">
        <f t="shared" si="110"/>
        <v>5.7720356457426396E-2</v>
      </c>
      <c r="BF128" s="62">
        <f t="shared" si="110"/>
        <v>5.7720356457426396E-2</v>
      </c>
      <c r="BG128" s="62">
        <f t="shared" si="110"/>
        <v>5.7720356457426396E-2</v>
      </c>
      <c r="BH128" s="62">
        <f t="shared" si="110"/>
        <v>5.7720356457426396E-2</v>
      </c>
      <c r="BI128" s="62">
        <f t="shared" si="110"/>
        <v>5.7720356457426396E-2</v>
      </c>
      <c r="BJ128" s="62">
        <f t="shared" si="110"/>
        <v>5.7720356457426396E-2</v>
      </c>
      <c r="BK128" s="62">
        <f t="shared" si="110"/>
        <v>5.7720356457426396E-2</v>
      </c>
      <c r="BL128" s="62">
        <f t="shared" si="110"/>
        <v>5.7720356457426396E-2</v>
      </c>
      <c r="BM128" s="62">
        <f t="shared" si="110"/>
        <v>5.7720356457426396E-2</v>
      </c>
      <c r="BN128" s="62">
        <f t="shared" si="110"/>
        <v>5.7720356457426396E-2</v>
      </c>
      <c r="BO128" s="62">
        <f t="shared" si="110"/>
        <v>5.7720356457426396E-2</v>
      </c>
    </row>
    <row r="129" spans="1:67" ht="12.75" customHeight="1" x14ac:dyDescent="0.2">
      <c r="A129" s="115">
        <v>8</v>
      </c>
      <c r="C129" s="23" t="s">
        <v>244</v>
      </c>
      <c r="D129" s="27" t="s">
        <v>491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61">
        <f t="shared" ref="R129:BO129" si="111">R127-R128</f>
        <v>5.7143152892852136</v>
      </c>
      <c r="S129" s="61">
        <f t="shared" si="111"/>
        <v>5.6565949328277876</v>
      </c>
      <c r="T129" s="61">
        <f t="shared" si="111"/>
        <v>5.5988745763703616</v>
      </c>
      <c r="U129" s="61">
        <f t="shared" si="111"/>
        <v>5.5411542199129356</v>
      </c>
      <c r="V129" s="61">
        <f t="shared" si="111"/>
        <v>5.4834338634555095</v>
      </c>
      <c r="W129" s="61">
        <f t="shared" si="111"/>
        <v>5.4257135069980835</v>
      </c>
      <c r="X129" s="61">
        <f t="shared" si="111"/>
        <v>5.3679931505406575</v>
      </c>
      <c r="Y129" s="61">
        <f t="shared" si="111"/>
        <v>5.3102727940832315</v>
      </c>
      <c r="Z129" s="61">
        <f t="shared" si="111"/>
        <v>5.2525524376258055</v>
      </c>
      <c r="AA129" s="61">
        <f t="shared" si="111"/>
        <v>5.1948320811683795</v>
      </c>
      <c r="AB129" s="61">
        <f t="shared" si="111"/>
        <v>5.1371117247109535</v>
      </c>
      <c r="AC129" s="61">
        <f t="shared" si="111"/>
        <v>5.0793913682535274</v>
      </c>
      <c r="AD129" s="61">
        <f t="shared" si="111"/>
        <v>5.0216710117961014</v>
      </c>
      <c r="AE129" s="61">
        <f t="shared" si="111"/>
        <v>4.9639506553386754</v>
      </c>
      <c r="AF129" s="61">
        <f t="shared" si="111"/>
        <v>4.9062302988812494</v>
      </c>
      <c r="AG129" s="61">
        <f t="shared" si="111"/>
        <v>4.8485099424238234</v>
      </c>
      <c r="AH129" s="61">
        <f t="shared" si="111"/>
        <v>4.7907895859663974</v>
      </c>
      <c r="AI129" s="61">
        <f t="shared" si="111"/>
        <v>4.7330692295089714</v>
      </c>
      <c r="AJ129" s="61">
        <f t="shared" si="111"/>
        <v>4.6753488730515453</v>
      </c>
      <c r="AK129" s="61">
        <f t="shared" si="111"/>
        <v>4.6176285165941193</v>
      </c>
      <c r="AL129" s="61">
        <f t="shared" si="111"/>
        <v>4.5599081601366933</v>
      </c>
      <c r="AM129" s="61">
        <f t="shared" si="111"/>
        <v>4.5021878036792673</v>
      </c>
      <c r="AN129" s="61">
        <f t="shared" si="111"/>
        <v>4.4444674472218413</v>
      </c>
      <c r="AO129" s="61">
        <f t="shared" si="111"/>
        <v>4.3867470907644153</v>
      </c>
      <c r="AP129" s="61">
        <f t="shared" si="111"/>
        <v>4.3290267343069893</v>
      </c>
      <c r="AQ129" s="61">
        <f t="shared" si="111"/>
        <v>4.2713063778495632</v>
      </c>
      <c r="AR129" s="61">
        <f t="shared" si="111"/>
        <v>4.2135860213921372</v>
      </c>
      <c r="AS129" s="61">
        <f t="shared" si="111"/>
        <v>4.1558656649347112</v>
      </c>
      <c r="AT129" s="61">
        <f t="shared" si="111"/>
        <v>4.0981453084772852</v>
      </c>
      <c r="AU129" s="61">
        <f t="shared" si="111"/>
        <v>4.0404249520198592</v>
      </c>
      <c r="AV129" s="61">
        <f t="shared" si="111"/>
        <v>3.9827045955624327</v>
      </c>
      <c r="AW129" s="61">
        <f t="shared" si="111"/>
        <v>3.9249842391050063</v>
      </c>
      <c r="AX129" s="61">
        <f t="shared" si="111"/>
        <v>3.8672638826475798</v>
      </c>
      <c r="AY129" s="61">
        <f t="shared" si="111"/>
        <v>3.8095435261901534</v>
      </c>
      <c r="AZ129" s="61">
        <f t="shared" si="111"/>
        <v>3.7518231697327269</v>
      </c>
      <c r="BA129" s="61">
        <f t="shared" si="111"/>
        <v>3.6941028132753004</v>
      </c>
      <c r="BB129" s="61">
        <f t="shared" si="111"/>
        <v>3.636382456817874</v>
      </c>
      <c r="BC129" s="61">
        <f t="shared" si="111"/>
        <v>3.5786621003604475</v>
      </c>
      <c r="BD129" s="61">
        <f t="shared" si="111"/>
        <v>3.5209417439030211</v>
      </c>
      <c r="BE129" s="61">
        <f t="shared" si="111"/>
        <v>3.4632213874455946</v>
      </c>
      <c r="BF129" s="61">
        <f t="shared" si="111"/>
        <v>3.4055010309881681</v>
      </c>
      <c r="BG129" s="61">
        <f t="shared" si="111"/>
        <v>3.3477806745307417</v>
      </c>
      <c r="BH129" s="61">
        <f t="shared" si="111"/>
        <v>3.2900603180733152</v>
      </c>
      <c r="BI129" s="61">
        <f t="shared" si="111"/>
        <v>3.2323399616158888</v>
      </c>
      <c r="BJ129" s="61">
        <f t="shared" si="111"/>
        <v>3.1746196051584623</v>
      </c>
      <c r="BK129" s="61">
        <f t="shared" si="111"/>
        <v>3.1168992487010359</v>
      </c>
      <c r="BL129" s="61">
        <f t="shared" si="111"/>
        <v>3.0591788922436094</v>
      </c>
      <c r="BM129" s="61">
        <f t="shared" si="111"/>
        <v>3.0014585357861829</v>
      </c>
      <c r="BN129" s="61">
        <f t="shared" si="111"/>
        <v>2.9437381793287565</v>
      </c>
      <c r="BO129" s="61">
        <f t="shared" si="111"/>
        <v>2.88601782287133</v>
      </c>
    </row>
    <row r="130" spans="1:67" ht="12.75" customHeight="1" x14ac:dyDescent="0.2">
      <c r="A130" s="115">
        <v>9</v>
      </c>
      <c r="C130" s="172" t="s">
        <v>512</v>
      </c>
      <c r="D130" s="27" t="s">
        <v>491</v>
      </c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61">
        <f t="shared" ref="R130" si="112">R128</f>
        <v>5.7720356457426396E-2</v>
      </c>
      <c r="S130" s="61">
        <f t="shared" ref="S130:BO130" si="113">S128</f>
        <v>5.7720356457426396E-2</v>
      </c>
      <c r="T130" s="61">
        <f t="shared" si="113"/>
        <v>5.7720356457426396E-2</v>
      </c>
      <c r="U130" s="61">
        <f t="shared" si="113"/>
        <v>5.7720356457426396E-2</v>
      </c>
      <c r="V130" s="61">
        <f t="shared" si="113"/>
        <v>5.7720356457426396E-2</v>
      </c>
      <c r="W130" s="61">
        <f t="shared" si="113"/>
        <v>5.7720356457426396E-2</v>
      </c>
      <c r="X130" s="61">
        <f t="shared" si="113"/>
        <v>5.7720356457426396E-2</v>
      </c>
      <c r="Y130" s="61">
        <f t="shared" si="113"/>
        <v>5.7720356457426396E-2</v>
      </c>
      <c r="Z130" s="61">
        <f t="shared" si="113"/>
        <v>5.7720356457426396E-2</v>
      </c>
      <c r="AA130" s="61">
        <f t="shared" si="113"/>
        <v>5.7720356457426396E-2</v>
      </c>
      <c r="AB130" s="61">
        <f t="shared" si="113"/>
        <v>5.7720356457426396E-2</v>
      </c>
      <c r="AC130" s="61">
        <f t="shared" si="113"/>
        <v>5.7720356457426396E-2</v>
      </c>
      <c r="AD130" s="61">
        <f t="shared" si="113"/>
        <v>5.7720356457426396E-2</v>
      </c>
      <c r="AE130" s="61">
        <f t="shared" si="113"/>
        <v>5.7720356457426396E-2</v>
      </c>
      <c r="AF130" s="61">
        <f t="shared" si="113"/>
        <v>5.7720356457426396E-2</v>
      </c>
      <c r="AG130" s="61">
        <f t="shared" si="113"/>
        <v>5.7720356457426396E-2</v>
      </c>
      <c r="AH130" s="61">
        <f t="shared" si="113"/>
        <v>5.7720356457426396E-2</v>
      </c>
      <c r="AI130" s="61">
        <f t="shared" si="113"/>
        <v>5.7720356457426396E-2</v>
      </c>
      <c r="AJ130" s="61">
        <f t="shared" si="113"/>
        <v>5.7720356457426396E-2</v>
      </c>
      <c r="AK130" s="61">
        <f t="shared" si="113"/>
        <v>5.7720356457426396E-2</v>
      </c>
      <c r="AL130" s="61">
        <f t="shared" si="113"/>
        <v>5.7720356457426396E-2</v>
      </c>
      <c r="AM130" s="61">
        <f t="shared" si="113"/>
        <v>5.7720356457426396E-2</v>
      </c>
      <c r="AN130" s="61">
        <f t="shared" si="113"/>
        <v>5.7720356457426396E-2</v>
      </c>
      <c r="AO130" s="61">
        <f t="shared" si="113"/>
        <v>5.7720356457426396E-2</v>
      </c>
      <c r="AP130" s="61">
        <f t="shared" si="113"/>
        <v>5.7720356457426396E-2</v>
      </c>
      <c r="AQ130" s="61">
        <f t="shared" si="113"/>
        <v>5.7720356457426396E-2</v>
      </c>
      <c r="AR130" s="61">
        <f t="shared" si="113"/>
        <v>5.7720356457426396E-2</v>
      </c>
      <c r="AS130" s="61">
        <f t="shared" si="113"/>
        <v>5.7720356457426396E-2</v>
      </c>
      <c r="AT130" s="61">
        <f t="shared" si="113"/>
        <v>5.7720356457426396E-2</v>
      </c>
      <c r="AU130" s="61">
        <f t="shared" si="113"/>
        <v>5.7720356457426396E-2</v>
      </c>
      <c r="AV130" s="61">
        <f t="shared" si="113"/>
        <v>5.7720356457426396E-2</v>
      </c>
      <c r="AW130" s="61">
        <f t="shared" si="113"/>
        <v>5.7720356457426396E-2</v>
      </c>
      <c r="AX130" s="61">
        <f t="shared" si="113"/>
        <v>5.7720356457426396E-2</v>
      </c>
      <c r="AY130" s="61">
        <f t="shared" si="113"/>
        <v>5.7720356457426396E-2</v>
      </c>
      <c r="AZ130" s="61">
        <f t="shared" si="113"/>
        <v>5.7720356457426396E-2</v>
      </c>
      <c r="BA130" s="61">
        <f t="shared" si="113"/>
        <v>5.7720356457426396E-2</v>
      </c>
      <c r="BB130" s="61">
        <f t="shared" si="113"/>
        <v>5.7720356457426396E-2</v>
      </c>
      <c r="BC130" s="61">
        <f t="shared" si="113"/>
        <v>5.7720356457426396E-2</v>
      </c>
      <c r="BD130" s="61">
        <f t="shared" si="113"/>
        <v>5.7720356457426396E-2</v>
      </c>
      <c r="BE130" s="61">
        <f t="shared" si="113"/>
        <v>5.7720356457426396E-2</v>
      </c>
      <c r="BF130" s="61">
        <f t="shared" si="113"/>
        <v>5.7720356457426396E-2</v>
      </c>
      <c r="BG130" s="61">
        <f t="shared" si="113"/>
        <v>5.7720356457426396E-2</v>
      </c>
      <c r="BH130" s="61">
        <f t="shared" si="113"/>
        <v>5.7720356457426396E-2</v>
      </c>
      <c r="BI130" s="61">
        <f t="shared" si="113"/>
        <v>5.7720356457426396E-2</v>
      </c>
      <c r="BJ130" s="61">
        <f t="shared" si="113"/>
        <v>5.7720356457426396E-2</v>
      </c>
      <c r="BK130" s="61">
        <f t="shared" si="113"/>
        <v>5.7720356457426396E-2</v>
      </c>
      <c r="BL130" s="61">
        <f t="shared" si="113"/>
        <v>5.7720356457426396E-2</v>
      </c>
      <c r="BM130" s="61">
        <f t="shared" si="113"/>
        <v>5.7720356457426396E-2</v>
      </c>
      <c r="BN130" s="61">
        <f t="shared" si="113"/>
        <v>5.7720356457426396E-2</v>
      </c>
      <c r="BO130" s="61">
        <f t="shared" si="113"/>
        <v>5.7720356457426396E-2</v>
      </c>
    </row>
    <row r="131" spans="1:67" ht="12.75" customHeight="1" x14ac:dyDescent="0.25">
      <c r="A131" s="115">
        <v>10</v>
      </c>
      <c r="B131" s="28"/>
      <c r="C131" s="17" t="s">
        <v>513</v>
      </c>
      <c r="D131" s="23" t="s">
        <v>221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63">
        <f>R130/R$47</f>
        <v>4.2918310730832382E-2</v>
      </c>
      <c r="S131" s="63">
        <f t="shared" ref="S131:BO131" si="114">S130/S$47</f>
        <v>4.1871522664226717E-2</v>
      </c>
      <c r="T131" s="63">
        <f t="shared" si="114"/>
        <v>4.0850266013879727E-2</v>
      </c>
      <c r="U131" s="63">
        <f t="shared" si="114"/>
        <v>3.9853918062321692E-2</v>
      </c>
      <c r="V131" s="63">
        <f t="shared" si="114"/>
        <v>3.8881871280313847E-2</v>
      </c>
      <c r="W131" s="63">
        <f t="shared" si="114"/>
        <v>3.7933532956403754E-2</v>
      </c>
      <c r="X131" s="63">
        <f t="shared" si="114"/>
        <v>3.700832483551586E-2</v>
      </c>
      <c r="Y131" s="63">
        <f t="shared" si="114"/>
        <v>3.6105682766356943E-2</v>
      </c>
      <c r="Z131" s="63">
        <f t="shared" si="114"/>
        <v>3.522505635742141E-2</v>
      </c>
      <c r="AA131" s="63">
        <f t="shared" si="114"/>
        <v>3.436590864138675E-2</v>
      </c>
      <c r="AB131" s="63">
        <f t="shared" si="114"/>
        <v>3.3527715747694392E-2</v>
      </c>
      <c r="AC131" s="63">
        <f t="shared" si="114"/>
        <v>3.2709966583116486E-2</v>
      </c>
      <c r="AD131" s="63">
        <f t="shared" si="114"/>
        <v>3.1912162520113641E-2</v>
      </c>
      <c r="AE131" s="63">
        <f t="shared" si="114"/>
        <v>3.1133817092793802E-2</v>
      </c>
      <c r="AF131" s="63">
        <f t="shared" si="114"/>
        <v>3.0374455700286636E-2</v>
      </c>
      <c r="AG131" s="63">
        <f t="shared" si="114"/>
        <v>2.963361531735282E-2</v>
      </c>
      <c r="AH131" s="63">
        <f t="shared" si="114"/>
        <v>2.8910844212051534E-2</v>
      </c>
      <c r="AI131" s="63">
        <f t="shared" si="114"/>
        <v>2.8205701670294184E-2</v>
      </c>
      <c r="AJ131" s="63">
        <f t="shared" si="114"/>
        <v>2.7517757727116277E-2</v>
      </c>
      <c r="AK131" s="63">
        <f t="shared" si="114"/>
        <v>2.684659290450369E-2</v>
      </c>
      <c r="AL131" s="63">
        <f t="shared" si="114"/>
        <v>2.6191797955613359E-2</v>
      </c>
      <c r="AM131" s="63">
        <f t="shared" si="114"/>
        <v>2.5552973615232545E-2</v>
      </c>
      <c r="AN131" s="63">
        <f t="shared" si="114"/>
        <v>2.4929730356324439E-2</v>
      </c>
      <c r="AO131" s="63">
        <f t="shared" si="114"/>
        <v>2.432168815251165E-2</v>
      </c>
      <c r="AP131" s="63">
        <f t="shared" si="114"/>
        <v>2.3728476246352832E-2</v>
      </c>
      <c r="AQ131" s="63">
        <f t="shared" si="114"/>
        <v>2.3149732923271056E-2</v>
      </c>
      <c r="AR131" s="63">
        <f t="shared" si="114"/>
        <v>2.2585105290996152E-2</v>
      </c>
      <c r="AS131" s="63">
        <f t="shared" si="114"/>
        <v>2.2034249064386491E-2</v>
      </c>
      <c r="AT131" s="63">
        <f t="shared" si="114"/>
        <v>2.1496828355499018E-2</v>
      </c>
      <c r="AU131" s="63">
        <f t="shared" si="114"/>
        <v>2.0972515468779533E-2</v>
      </c>
      <c r="AV131" s="63">
        <f t="shared" si="114"/>
        <v>2.0460990701248325E-2</v>
      </c>
      <c r="AW131" s="63">
        <f t="shared" si="114"/>
        <v>1.9961942147559343E-2</v>
      </c>
      <c r="AX131" s="63">
        <f t="shared" si="114"/>
        <v>1.9475065509813993E-2</v>
      </c>
      <c r="AY131" s="63">
        <f t="shared" si="114"/>
        <v>1.9000063912013653E-2</v>
      </c>
      <c r="AZ131" s="63">
        <f t="shared" si="114"/>
        <v>1.8536647719037711E-2</v>
      </c>
      <c r="BA131" s="63">
        <f t="shared" si="114"/>
        <v>1.8084534360036791E-2</v>
      </c>
      <c r="BB131" s="63">
        <f t="shared" si="114"/>
        <v>1.7643448156133456E-2</v>
      </c>
      <c r="BC131" s="63">
        <f t="shared" si="114"/>
        <v>1.7213120152325324E-2</v>
      </c>
      <c r="BD131" s="63">
        <f t="shared" si="114"/>
        <v>1.6793287953488122E-2</v>
      </c>
      <c r="BE131" s="63">
        <f t="shared" si="114"/>
        <v>1.6383695564378659E-2</v>
      </c>
      <c r="BF131" s="63">
        <f t="shared" si="114"/>
        <v>1.5984093233540157E-2</v>
      </c>
      <c r="BG131" s="63">
        <f t="shared" si="114"/>
        <v>1.5594237301014788E-2</v>
      </c>
      <c r="BH131" s="63">
        <f t="shared" si="114"/>
        <v>1.5213890049770525E-2</v>
      </c>
      <c r="BI131" s="63">
        <f t="shared" si="114"/>
        <v>1.4842819560751733E-2</v>
      </c>
      <c r="BJ131" s="63">
        <f t="shared" si="114"/>
        <v>1.4480799571465107E-2</v>
      </c>
      <c r="BK131" s="63">
        <f t="shared" si="114"/>
        <v>1.4127609338014737E-2</v>
      </c>
      <c r="BL131" s="63">
        <f t="shared" si="114"/>
        <v>1.3783033500502187E-2</v>
      </c>
      <c r="BM131" s="63">
        <f t="shared" si="114"/>
        <v>1.344686195170945E-2</v>
      </c>
      <c r="BN131" s="63">
        <f t="shared" si="114"/>
        <v>1.3118889708984829E-2</v>
      </c>
      <c r="BO131" s="63">
        <f t="shared" si="114"/>
        <v>1.2798916789253493E-2</v>
      </c>
    </row>
    <row r="132" spans="1:67" ht="12.75" customHeight="1" x14ac:dyDescent="0.2">
      <c r="A132" s="115">
        <v>11</v>
      </c>
      <c r="B132" s="16"/>
      <c r="C132" s="17"/>
      <c r="D132" s="27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</row>
    <row r="133" spans="1:67" ht="12.75" customHeight="1" x14ac:dyDescent="0.2">
      <c r="A133" s="115">
        <v>12</v>
      </c>
      <c r="C133" s="18" t="s">
        <v>106</v>
      </c>
      <c r="D133" s="27" t="s">
        <v>491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61">
        <f>R153</f>
        <v>0.23088142582970558</v>
      </c>
      <c r="S133" s="61">
        <f t="shared" ref="S133:BO133" si="115">S153</f>
        <v>0.22676478711904086</v>
      </c>
      <c r="T133" s="61">
        <f t="shared" si="115"/>
        <v>0.22248348285994954</v>
      </c>
      <c r="U133" s="61">
        <f t="shared" si="115"/>
        <v>0.21803092643049457</v>
      </c>
      <c r="V133" s="61">
        <f t="shared" si="115"/>
        <v>0.21340026774386139</v>
      </c>
      <c r="W133" s="61">
        <f t="shared" si="115"/>
        <v>0.2085843827097629</v>
      </c>
      <c r="X133" s="61">
        <f t="shared" si="115"/>
        <v>0.20357586227430047</v>
      </c>
      <c r="Y133" s="61">
        <f t="shared" si="115"/>
        <v>0.19836700102141955</v>
      </c>
      <c r="Z133" s="61">
        <f t="shared" si="115"/>
        <v>0.19294978531842336</v>
      </c>
      <c r="AA133" s="61">
        <f t="shared" si="115"/>
        <v>0.18731588098730734</v>
      </c>
      <c r="AB133" s="61">
        <f t="shared" si="115"/>
        <v>0.18145662048294667</v>
      </c>
      <c r="AC133" s="61">
        <f t="shared" si="115"/>
        <v>0.17536298955841159</v>
      </c>
      <c r="AD133" s="61">
        <f t="shared" si="115"/>
        <v>0.16902561339689509</v>
      </c>
      <c r="AE133" s="61">
        <f t="shared" si="115"/>
        <v>0.16243474218891796</v>
      </c>
      <c r="AF133" s="61">
        <f t="shared" si="115"/>
        <v>0.1555802361326217</v>
      </c>
      <c r="AG133" s="61">
        <f t="shared" si="115"/>
        <v>0.14845154983407363</v>
      </c>
      <c r="AH133" s="61">
        <f t="shared" si="115"/>
        <v>0.14103771608358362</v>
      </c>
      <c r="AI133" s="61">
        <f t="shared" si="115"/>
        <v>0.13332732898307401</v>
      </c>
      <c r="AJ133" s="61">
        <f t="shared" si="115"/>
        <v>0.12530852639854401</v>
      </c>
      <c r="AK133" s="61">
        <f t="shared" si="115"/>
        <v>0.11696897171063281</v>
      </c>
      <c r="AL133" s="61">
        <f t="shared" si="115"/>
        <v>0.10829583483520518</v>
      </c>
      <c r="AM133" s="61">
        <f t="shared" si="115"/>
        <v>9.9275772484760424E-2</v>
      </c>
      <c r="AN133" s="61">
        <f t="shared" si="115"/>
        <v>8.9894907640297894E-2</v>
      </c>
      <c r="AO133" s="61">
        <f t="shared" si="115"/>
        <v>8.0138808202056849E-2</v>
      </c>
      <c r="AP133" s="61">
        <f t="shared" si="115"/>
        <v>6.9992464786286165E-2</v>
      </c>
      <c r="AQ133" s="61">
        <f t="shared" si="115"/>
        <v>5.9440267633884665E-2</v>
      </c>
      <c r="AR133" s="61">
        <f t="shared" si="115"/>
        <v>4.8465982595387098E-2</v>
      </c>
      <c r="AS133" s="61">
        <f t="shared" si="115"/>
        <v>3.705272615534963E-2</v>
      </c>
      <c r="AT133" s="61">
        <f t="shared" si="115"/>
        <v>2.5182939457710662E-2</v>
      </c>
      <c r="AU133" s="61">
        <f t="shared" si="115"/>
        <v>1.2838361292166136E-2</v>
      </c>
      <c r="AV133" s="61">
        <f t="shared" si="115"/>
        <v>0</v>
      </c>
      <c r="AW133" s="61">
        <f t="shared" si="115"/>
        <v>0</v>
      </c>
      <c r="AX133" s="61">
        <f t="shared" si="115"/>
        <v>0</v>
      </c>
      <c r="AY133" s="61">
        <f t="shared" si="115"/>
        <v>0</v>
      </c>
      <c r="AZ133" s="61">
        <f t="shared" si="115"/>
        <v>0</v>
      </c>
      <c r="BA133" s="61">
        <f t="shared" si="115"/>
        <v>0</v>
      </c>
      <c r="BB133" s="61">
        <f t="shared" si="115"/>
        <v>0</v>
      </c>
      <c r="BC133" s="61">
        <f t="shared" si="115"/>
        <v>0</v>
      </c>
      <c r="BD133" s="61">
        <f t="shared" si="115"/>
        <v>0</v>
      </c>
      <c r="BE133" s="61">
        <f t="shared" si="115"/>
        <v>0</v>
      </c>
      <c r="BF133" s="61">
        <f t="shared" si="115"/>
        <v>0</v>
      </c>
      <c r="BG133" s="61">
        <f t="shared" si="115"/>
        <v>0</v>
      </c>
      <c r="BH133" s="61">
        <f t="shared" si="115"/>
        <v>0</v>
      </c>
      <c r="BI133" s="61">
        <f t="shared" si="115"/>
        <v>0</v>
      </c>
      <c r="BJ133" s="61">
        <f t="shared" si="115"/>
        <v>0</v>
      </c>
      <c r="BK133" s="61">
        <f t="shared" si="115"/>
        <v>0</v>
      </c>
      <c r="BL133" s="61">
        <f t="shared" si="115"/>
        <v>0</v>
      </c>
      <c r="BM133" s="61">
        <f t="shared" si="115"/>
        <v>0</v>
      </c>
      <c r="BN133" s="61">
        <f t="shared" si="115"/>
        <v>0</v>
      </c>
      <c r="BO133" s="61">
        <f t="shared" si="115"/>
        <v>0</v>
      </c>
    </row>
    <row r="134" spans="1:67" ht="12.75" customHeight="1" x14ac:dyDescent="0.2">
      <c r="A134" s="115">
        <v>13</v>
      </c>
      <c r="C134" s="172" t="s">
        <v>490</v>
      </c>
      <c r="D134" s="27" t="s">
        <v>491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61">
        <f>R133</f>
        <v>0.23088142582970558</v>
      </c>
      <c r="S134" s="61">
        <f t="shared" ref="S134:BO134" si="116">S133</f>
        <v>0.22676478711904086</v>
      </c>
      <c r="T134" s="61">
        <f t="shared" si="116"/>
        <v>0.22248348285994954</v>
      </c>
      <c r="U134" s="61">
        <f t="shared" si="116"/>
        <v>0.21803092643049457</v>
      </c>
      <c r="V134" s="61">
        <f t="shared" si="116"/>
        <v>0.21340026774386139</v>
      </c>
      <c r="W134" s="61">
        <f t="shared" si="116"/>
        <v>0.2085843827097629</v>
      </c>
      <c r="X134" s="61">
        <f t="shared" si="116"/>
        <v>0.20357586227430047</v>
      </c>
      <c r="Y134" s="61">
        <f t="shared" si="116"/>
        <v>0.19836700102141955</v>
      </c>
      <c r="Z134" s="61">
        <f t="shared" si="116"/>
        <v>0.19294978531842336</v>
      </c>
      <c r="AA134" s="61">
        <f t="shared" si="116"/>
        <v>0.18731588098730734</v>
      </c>
      <c r="AB134" s="61">
        <f t="shared" si="116"/>
        <v>0.18145662048294667</v>
      </c>
      <c r="AC134" s="61">
        <f t="shared" si="116"/>
        <v>0.17536298955841159</v>
      </c>
      <c r="AD134" s="61">
        <f t="shared" si="116"/>
        <v>0.16902561339689509</v>
      </c>
      <c r="AE134" s="61">
        <f t="shared" si="116"/>
        <v>0.16243474218891796</v>
      </c>
      <c r="AF134" s="61">
        <f t="shared" si="116"/>
        <v>0.1555802361326217</v>
      </c>
      <c r="AG134" s="61">
        <f t="shared" si="116"/>
        <v>0.14845154983407363</v>
      </c>
      <c r="AH134" s="61">
        <f t="shared" si="116"/>
        <v>0.14103771608358362</v>
      </c>
      <c r="AI134" s="61">
        <f t="shared" si="116"/>
        <v>0.13332732898307401</v>
      </c>
      <c r="AJ134" s="61">
        <f t="shared" si="116"/>
        <v>0.12530852639854401</v>
      </c>
      <c r="AK134" s="61">
        <f t="shared" si="116"/>
        <v>0.11696897171063281</v>
      </c>
      <c r="AL134" s="61">
        <f t="shared" si="116"/>
        <v>0.10829583483520518</v>
      </c>
      <c r="AM134" s="61">
        <f t="shared" si="116"/>
        <v>9.9275772484760424E-2</v>
      </c>
      <c r="AN134" s="61">
        <f t="shared" si="116"/>
        <v>8.9894907640297894E-2</v>
      </c>
      <c r="AO134" s="61">
        <f t="shared" si="116"/>
        <v>8.0138808202056849E-2</v>
      </c>
      <c r="AP134" s="61">
        <f t="shared" si="116"/>
        <v>6.9992464786286165E-2</v>
      </c>
      <c r="AQ134" s="61">
        <f t="shared" si="116"/>
        <v>5.9440267633884665E-2</v>
      </c>
      <c r="AR134" s="61">
        <f t="shared" si="116"/>
        <v>4.8465982595387098E-2</v>
      </c>
      <c r="AS134" s="61">
        <f t="shared" si="116"/>
        <v>3.705272615534963E-2</v>
      </c>
      <c r="AT134" s="61">
        <f t="shared" si="116"/>
        <v>2.5182939457710662E-2</v>
      </c>
      <c r="AU134" s="61">
        <f t="shared" si="116"/>
        <v>1.2838361292166136E-2</v>
      </c>
      <c r="AV134" s="61">
        <f t="shared" si="116"/>
        <v>0</v>
      </c>
      <c r="AW134" s="61">
        <f t="shared" si="116"/>
        <v>0</v>
      </c>
      <c r="AX134" s="61">
        <f t="shared" si="116"/>
        <v>0</v>
      </c>
      <c r="AY134" s="61">
        <f t="shared" si="116"/>
        <v>0</v>
      </c>
      <c r="AZ134" s="61">
        <f t="shared" si="116"/>
        <v>0</v>
      </c>
      <c r="BA134" s="61">
        <f t="shared" si="116"/>
        <v>0</v>
      </c>
      <c r="BB134" s="61">
        <f t="shared" si="116"/>
        <v>0</v>
      </c>
      <c r="BC134" s="61">
        <f t="shared" si="116"/>
        <v>0</v>
      </c>
      <c r="BD134" s="61">
        <f t="shared" si="116"/>
        <v>0</v>
      </c>
      <c r="BE134" s="61">
        <f t="shared" si="116"/>
        <v>0</v>
      </c>
      <c r="BF134" s="61">
        <f t="shared" si="116"/>
        <v>0</v>
      </c>
      <c r="BG134" s="61">
        <f t="shared" si="116"/>
        <v>0</v>
      </c>
      <c r="BH134" s="61">
        <f t="shared" si="116"/>
        <v>0</v>
      </c>
      <c r="BI134" s="61">
        <f t="shared" si="116"/>
        <v>0</v>
      </c>
      <c r="BJ134" s="61">
        <f t="shared" si="116"/>
        <v>0</v>
      </c>
      <c r="BK134" s="61">
        <f t="shared" si="116"/>
        <v>0</v>
      </c>
      <c r="BL134" s="61">
        <f t="shared" si="116"/>
        <v>0</v>
      </c>
      <c r="BM134" s="61">
        <f t="shared" si="116"/>
        <v>0</v>
      </c>
      <c r="BN134" s="61">
        <f t="shared" si="116"/>
        <v>0</v>
      </c>
      <c r="BO134" s="61">
        <f t="shared" si="116"/>
        <v>0</v>
      </c>
    </row>
    <row r="135" spans="1:67" ht="12.75" customHeight="1" x14ac:dyDescent="0.2">
      <c r="A135" s="115">
        <v>14</v>
      </c>
      <c r="B135" s="28"/>
      <c r="C135" s="17" t="s">
        <v>511</v>
      </c>
      <c r="D135" s="23" t="s">
        <v>221</v>
      </c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63">
        <f>R134/R$47</f>
        <v>0.17167324292332953</v>
      </c>
      <c r="S135" s="63">
        <f t="shared" ref="S135:BO135" si="117">S134/S$47</f>
        <v>0.16449979705698481</v>
      </c>
      <c r="T135" s="63">
        <f t="shared" si="117"/>
        <v>0.15745761142738138</v>
      </c>
      <c r="U135" s="63">
        <f t="shared" si="117"/>
        <v>0.15054284502595147</v>
      </c>
      <c r="V135" s="63">
        <f t="shared" si="117"/>
        <v>0.14375174116815026</v>
      </c>
      <c r="W135" s="63">
        <f t="shared" si="117"/>
        <v>0.1370806252998098</v>
      </c>
      <c r="X135" s="63">
        <f t="shared" si="117"/>
        <v>0.13052590285499205</v>
      </c>
      <c r="Y135" s="63">
        <f t="shared" si="117"/>
        <v>0.12408405716405586</v>
      </c>
      <c r="Z135" s="63">
        <f t="shared" si="117"/>
        <v>0.11775164741068322</v>
      </c>
      <c r="AA135" s="63">
        <f t="shared" si="117"/>
        <v>0.11152530663664059</v>
      </c>
      <c r="AB135" s="63">
        <f t="shared" si="117"/>
        <v>0.10540173979308023</v>
      </c>
      <c r="AC135" s="63">
        <f t="shared" si="117"/>
        <v>9.9377721837215535E-2</v>
      </c>
      <c r="AD135" s="63">
        <f t="shared" si="117"/>
        <v>9.3450095873231859E-2</v>
      </c>
      <c r="AE135" s="63">
        <f t="shared" si="117"/>
        <v>8.7615771336322354E-2</v>
      </c>
      <c r="AF135" s="63">
        <f t="shared" si="117"/>
        <v>8.1871722218763959E-2</v>
      </c>
      <c r="AG135" s="63">
        <f t="shared" si="117"/>
        <v>7.6214985336975807E-2</v>
      </c>
      <c r="AH135" s="63">
        <f t="shared" si="117"/>
        <v>7.0642658638526493E-2</v>
      </c>
      <c r="AI135" s="63">
        <f t="shared" si="117"/>
        <v>6.5151899548082384E-2</v>
      </c>
      <c r="AJ135" s="63">
        <f t="shared" si="117"/>
        <v>5.97399233513125E-2</v>
      </c>
      <c r="AK135" s="63">
        <f t="shared" si="117"/>
        <v>5.4404001615789427E-2</v>
      </c>
      <c r="AL135" s="63">
        <f t="shared" si="117"/>
        <v>4.9141460647948318E-2</v>
      </c>
      <c r="AM135" s="63">
        <f t="shared" si="117"/>
        <v>4.3949679985188735E-2</v>
      </c>
      <c r="AN135" s="63">
        <f t="shared" si="117"/>
        <v>3.8826090922225727E-2</v>
      </c>
      <c r="AO135" s="63">
        <f t="shared" si="117"/>
        <v>3.3768175070817565E-2</v>
      </c>
      <c r="AP135" s="63">
        <f t="shared" si="117"/>
        <v>2.8773462952018814E-2</v>
      </c>
      <c r="AQ135" s="63">
        <f t="shared" si="117"/>
        <v>2.3839532620127141E-2</v>
      </c>
      <c r="AR135" s="63">
        <f t="shared" si="117"/>
        <v>1.8964008317512226E-2</v>
      </c>
      <c r="AS135" s="63">
        <f t="shared" si="117"/>
        <v>1.4144559159534408E-2</v>
      </c>
      <c r="AT135" s="63">
        <f t="shared" si="117"/>
        <v>9.3788978487792801E-3</v>
      </c>
      <c r="AU135" s="63">
        <f t="shared" si="117"/>
        <v>4.6647794178528877E-3</v>
      </c>
      <c r="AV135" s="63">
        <f t="shared" si="117"/>
        <v>0</v>
      </c>
      <c r="AW135" s="63">
        <f t="shared" si="117"/>
        <v>0</v>
      </c>
      <c r="AX135" s="63">
        <f t="shared" si="117"/>
        <v>0</v>
      </c>
      <c r="AY135" s="63">
        <f t="shared" si="117"/>
        <v>0</v>
      </c>
      <c r="AZ135" s="63">
        <f t="shared" si="117"/>
        <v>0</v>
      </c>
      <c r="BA135" s="63">
        <f t="shared" si="117"/>
        <v>0</v>
      </c>
      <c r="BB135" s="63">
        <f t="shared" si="117"/>
        <v>0</v>
      </c>
      <c r="BC135" s="63">
        <f t="shared" si="117"/>
        <v>0</v>
      </c>
      <c r="BD135" s="63">
        <f t="shared" si="117"/>
        <v>0</v>
      </c>
      <c r="BE135" s="63">
        <f t="shared" si="117"/>
        <v>0</v>
      </c>
      <c r="BF135" s="63">
        <f t="shared" si="117"/>
        <v>0</v>
      </c>
      <c r="BG135" s="63">
        <f t="shared" si="117"/>
        <v>0</v>
      </c>
      <c r="BH135" s="63">
        <f t="shared" si="117"/>
        <v>0</v>
      </c>
      <c r="BI135" s="63">
        <f t="shared" si="117"/>
        <v>0</v>
      </c>
      <c r="BJ135" s="63">
        <f t="shared" si="117"/>
        <v>0</v>
      </c>
      <c r="BK135" s="63">
        <f t="shared" si="117"/>
        <v>0</v>
      </c>
      <c r="BL135" s="63">
        <f t="shared" si="117"/>
        <v>0</v>
      </c>
      <c r="BM135" s="63">
        <f t="shared" si="117"/>
        <v>0</v>
      </c>
      <c r="BN135" s="63">
        <f t="shared" si="117"/>
        <v>0</v>
      </c>
      <c r="BO135" s="63">
        <f t="shared" si="117"/>
        <v>0</v>
      </c>
    </row>
    <row r="136" spans="1:67" ht="12.75" customHeight="1" x14ac:dyDescent="0.2">
      <c r="A136" s="115">
        <v>15</v>
      </c>
      <c r="C136" s="16"/>
      <c r="D136" s="16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</row>
    <row r="137" spans="1:67" ht="12.75" customHeight="1" x14ac:dyDescent="0.2">
      <c r="A137" s="115">
        <v>16</v>
      </c>
      <c r="B137" s="17" t="s">
        <v>501</v>
      </c>
      <c r="D137" s="23" t="s">
        <v>221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66">
        <f>R124+R131+R135</f>
        <v>0.2325915536541619</v>
      </c>
      <c r="S137" s="66">
        <f t="shared" ref="S137:BO137" si="118">S124+S131+S135</f>
        <v>0.22437131972121152</v>
      </c>
      <c r="T137" s="66">
        <f t="shared" si="118"/>
        <v>0.21630787744126112</v>
      </c>
      <c r="U137" s="66">
        <f t="shared" si="118"/>
        <v>0.20839676308827315</v>
      </c>
      <c r="V137" s="66">
        <f t="shared" si="118"/>
        <v>0.20063361244846412</v>
      </c>
      <c r="W137" s="66">
        <f t="shared" si="118"/>
        <v>0.19301415825621354</v>
      </c>
      <c r="X137" s="66">
        <f t="shared" si="118"/>
        <v>0.18553422769050792</v>
      </c>
      <c r="Y137" s="66">
        <f t="shared" si="118"/>
        <v>0.17818973993041282</v>
      </c>
      <c r="Z137" s="66">
        <f t="shared" si="118"/>
        <v>0.17097670376810464</v>
      </c>
      <c r="AA137" s="66">
        <f t="shared" si="118"/>
        <v>0.16389121527802736</v>
      </c>
      <c r="AB137" s="66">
        <f t="shared" si="118"/>
        <v>0.15692945554077464</v>
      </c>
      <c r="AC137" s="66">
        <f t="shared" si="118"/>
        <v>0.15008768842033202</v>
      </c>
      <c r="AD137" s="66">
        <f t="shared" si="118"/>
        <v>0.14336225839334549</v>
      </c>
      <c r="AE137" s="66">
        <f t="shared" si="118"/>
        <v>0.13674958842911616</v>
      </c>
      <c r="AF137" s="66">
        <f t="shared" si="118"/>
        <v>0.13024617791905058</v>
      </c>
      <c r="AG137" s="66">
        <f t="shared" si="118"/>
        <v>0.12384860065432862</v>
      </c>
      <c r="AH137" s="66">
        <f t="shared" si="118"/>
        <v>0.11755350285057803</v>
      </c>
      <c r="AI137" s="66">
        <f t="shared" si="118"/>
        <v>0.11135760121837657</v>
      </c>
      <c r="AJ137" s="66">
        <f t="shared" si="118"/>
        <v>0.10525768107842878</v>
      </c>
      <c r="AK137" s="66">
        <f t="shared" si="118"/>
        <v>9.9250594520293112E-2</v>
      </c>
      <c r="AL137" s="66">
        <f t="shared" si="118"/>
        <v>9.3333258603561675E-2</v>
      </c>
      <c r="AM137" s="66">
        <f t="shared" si="118"/>
        <v>8.7502653600421282E-2</v>
      </c>
      <c r="AN137" s="66">
        <f t="shared" si="118"/>
        <v>8.1755821278550161E-2</v>
      </c>
      <c r="AO137" s="66">
        <f t="shared" si="118"/>
        <v>7.6089863223329224E-2</v>
      </c>
      <c r="AP137" s="66">
        <f t="shared" si="118"/>
        <v>7.0501939198371638E-2</v>
      </c>
      <c r="AQ137" s="66">
        <f t="shared" si="118"/>
        <v>6.4989265543398192E-2</v>
      </c>
      <c r="AR137" s="66">
        <f t="shared" si="118"/>
        <v>5.9549113608508383E-2</v>
      </c>
      <c r="AS137" s="66">
        <f t="shared" si="118"/>
        <v>5.4178808223920898E-2</v>
      </c>
      <c r="AT137" s="66">
        <f t="shared" si="118"/>
        <v>4.8875726204278297E-2</v>
      </c>
      <c r="AU137" s="66">
        <f t="shared" si="118"/>
        <v>4.3637294886632413E-2</v>
      </c>
      <c r="AV137" s="66">
        <f t="shared" si="118"/>
        <v>3.8460990701248324E-2</v>
      </c>
      <c r="AW137" s="66">
        <f t="shared" si="118"/>
        <v>3.7961942147559338E-2</v>
      </c>
      <c r="AX137" s="66">
        <f t="shared" si="118"/>
        <v>3.7475065509813991E-2</v>
      </c>
      <c r="AY137" s="66">
        <f t="shared" si="118"/>
        <v>3.7000063912013652E-2</v>
      </c>
      <c r="AZ137" s="66">
        <f t="shared" si="118"/>
        <v>3.653664771903771E-2</v>
      </c>
      <c r="BA137" s="66">
        <f t="shared" si="118"/>
        <v>3.6084534360036793E-2</v>
      </c>
      <c r="BB137" s="66">
        <f t="shared" si="118"/>
        <v>3.5643448156133455E-2</v>
      </c>
      <c r="BC137" s="66">
        <f t="shared" si="118"/>
        <v>3.521312015232532E-2</v>
      </c>
      <c r="BD137" s="66">
        <f t="shared" si="118"/>
        <v>3.4793287953488121E-2</v>
      </c>
      <c r="BE137" s="66">
        <f t="shared" si="118"/>
        <v>3.4383695564378661E-2</v>
      </c>
      <c r="BF137" s="66">
        <f t="shared" si="118"/>
        <v>3.3984093233540152E-2</v>
      </c>
      <c r="BG137" s="66">
        <f t="shared" si="118"/>
        <v>3.3594237301014788E-2</v>
      </c>
      <c r="BH137" s="66">
        <f t="shared" si="118"/>
        <v>3.3213890049770524E-2</v>
      </c>
      <c r="BI137" s="66">
        <f t="shared" si="118"/>
        <v>3.2842819560751732E-2</v>
      </c>
      <c r="BJ137" s="66">
        <f t="shared" si="118"/>
        <v>3.2480799571465102E-2</v>
      </c>
      <c r="BK137" s="66">
        <f t="shared" si="118"/>
        <v>3.2127609338014736E-2</v>
      </c>
      <c r="BL137" s="66">
        <f t="shared" si="118"/>
        <v>3.1783033500502184E-2</v>
      </c>
      <c r="BM137" s="66">
        <f t="shared" si="118"/>
        <v>3.1446861951709447E-2</v>
      </c>
      <c r="BN137" s="66">
        <f t="shared" si="118"/>
        <v>3.1118889708984826E-2</v>
      </c>
      <c r="BO137" s="66">
        <f t="shared" si="118"/>
        <v>3.0798916789253492E-2</v>
      </c>
    </row>
    <row r="138" spans="1:67" ht="12.75" customHeight="1" x14ac:dyDescent="0.2">
      <c r="A138" s="115">
        <v>17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</row>
    <row r="139" spans="1:67" ht="12.75" customHeight="1" x14ac:dyDescent="0.2">
      <c r="A139" s="115">
        <v>18</v>
      </c>
      <c r="B139" s="16" t="s">
        <v>502</v>
      </c>
    </row>
    <row r="140" spans="1:67" ht="12.75" customHeight="1" x14ac:dyDescent="0.2">
      <c r="A140" s="115">
        <v>19</v>
      </c>
      <c r="B140" s="29" t="s">
        <v>73</v>
      </c>
      <c r="D140" s="23" t="s">
        <v>221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67">
        <f>R137</f>
        <v>0.2325915536541619</v>
      </c>
      <c r="S140" s="67">
        <f t="shared" ref="S140:BO140" si="119">S137</f>
        <v>0.22437131972121152</v>
      </c>
      <c r="T140" s="67">
        <f t="shared" si="119"/>
        <v>0.21630787744126112</v>
      </c>
      <c r="U140" s="67">
        <f t="shared" si="119"/>
        <v>0.20839676308827315</v>
      </c>
      <c r="V140" s="67">
        <f t="shared" si="119"/>
        <v>0.20063361244846412</v>
      </c>
      <c r="W140" s="67">
        <f t="shared" si="119"/>
        <v>0.19301415825621354</v>
      </c>
      <c r="X140" s="67">
        <f t="shared" si="119"/>
        <v>0.18553422769050792</v>
      </c>
      <c r="Y140" s="67">
        <f t="shared" si="119"/>
        <v>0.17818973993041282</v>
      </c>
      <c r="Z140" s="67">
        <f t="shared" si="119"/>
        <v>0.17097670376810464</v>
      </c>
      <c r="AA140" s="67">
        <f t="shared" si="119"/>
        <v>0.16389121527802736</v>
      </c>
      <c r="AB140" s="67">
        <f t="shared" si="119"/>
        <v>0.15692945554077464</v>
      </c>
      <c r="AC140" s="67">
        <f t="shared" si="119"/>
        <v>0.15008768842033202</v>
      </c>
      <c r="AD140" s="67">
        <f t="shared" si="119"/>
        <v>0.14336225839334549</v>
      </c>
      <c r="AE140" s="67">
        <f t="shared" si="119"/>
        <v>0.13674958842911616</v>
      </c>
      <c r="AF140" s="67">
        <f t="shared" si="119"/>
        <v>0.13024617791905058</v>
      </c>
      <c r="AG140" s="67">
        <f t="shared" si="119"/>
        <v>0.12384860065432862</v>
      </c>
      <c r="AH140" s="67">
        <f t="shared" si="119"/>
        <v>0.11755350285057803</v>
      </c>
      <c r="AI140" s="67">
        <f t="shared" si="119"/>
        <v>0.11135760121837657</v>
      </c>
      <c r="AJ140" s="67">
        <f t="shared" si="119"/>
        <v>0.10525768107842878</v>
      </c>
      <c r="AK140" s="67">
        <f t="shared" si="119"/>
        <v>9.9250594520293112E-2</v>
      </c>
      <c r="AL140" s="67">
        <f t="shared" si="119"/>
        <v>9.3333258603561675E-2</v>
      </c>
      <c r="AM140" s="67">
        <f t="shared" si="119"/>
        <v>8.7502653600421282E-2</v>
      </c>
      <c r="AN140" s="67">
        <f t="shared" si="119"/>
        <v>8.1755821278550161E-2</v>
      </c>
      <c r="AO140" s="67">
        <f t="shared" si="119"/>
        <v>7.6089863223329224E-2</v>
      </c>
      <c r="AP140" s="67">
        <f t="shared" si="119"/>
        <v>7.0501939198371638E-2</v>
      </c>
      <c r="AQ140" s="67">
        <f t="shared" si="119"/>
        <v>6.4989265543398192E-2</v>
      </c>
      <c r="AR140" s="67">
        <f t="shared" si="119"/>
        <v>5.9549113608508383E-2</v>
      </c>
      <c r="AS140" s="67">
        <f t="shared" si="119"/>
        <v>5.4178808223920898E-2</v>
      </c>
      <c r="AT140" s="67">
        <f t="shared" si="119"/>
        <v>4.8875726204278297E-2</v>
      </c>
      <c r="AU140" s="67">
        <f t="shared" si="119"/>
        <v>4.3637294886632413E-2</v>
      </c>
      <c r="AV140" s="67">
        <f t="shared" si="119"/>
        <v>3.8460990701248324E-2</v>
      </c>
      <c r="AW140" s="67">
        <f t="shared" si="119"/>
        <v>3.7961942147559338E-2</v>
      </c>
      <c r="AX140" s="67">
        <f t="shared" si="119"/>
        <v>3.7475065509813991E-2</v>
      </c>
      <c r="AY140" s="67">
        <f t="shared" si="119"/>
        <v>3.7000063912013652E-2</v>
      </c>
      <c r="AZ140" s="67">
        <f t="shared" si="119"/>
        <v>3.653664771903771E-2</v>
      </c>
      <c r="BA140" s="67">
        <f t="shared" si="119"/>
        <v>3.6084534360036793E-2</v>
      </c>
      <c r="BB140" s="67">
        <f t="shared" si="119"/>
        <v>3.5643448156133455E-2</v>
      </c>
      <c r="BC140" s="67">
        <f t="shared" si="119"/>
        <v>3.521312015232532E-2</v>
      </c>
      <c r="BD140" s="67">
        <f t="shared" si="119"/>
        <v>3.4793287953488121E-2</v>
      </c>
      <c r="BE140" s="67">
        <f t="shared" si="119"/>
        <v>3.4383695564378661E-2</v>
      </c>
      <c r="BF140" s="67">
        <f t="shared" si="119"/>
        <v>3.3984093233540152E-2</v>
      </c>
      <c r="BG140" s="67">
        <f t="shared" si="119"/>
        <v>3.3594237301014788E-2</v>
      </c>
      <c r="BH140" s="67">
        <f t="shared" si="119"/>
        <v>3.3213890049770524E-2</v>
      </c>
      <c r="BI140" s="67">
        <f t="shared" si="119"/>
        <v>3.2842819560751732E-2</v>
      </c>
      <c r="BJ140" s="67">
        <f t="shared" si="119"/>
        <v>3.2480799571465102E-2</v>
      </c>
      <c r="BK140" s="67">
        <f t="shared" si="119"/>
        <v>3.2127609338014736E-2</v>
      </c>
      <c r="BL140" s="67">
        <f t="shared" si="119"/>
        <v>3.1783033500502184E-2</v>
      </c>
      <c r="BM140" s="67">
        <f t="shared" si="119"/>
        <v>3.1446861951709447E-2</v>
      </c>
      <c r="BN140" s="67">
        <f t="shared" si="119"/>
        <v>3.1118889708984826E-2</v>
      </c>
      <c r="BO140" s="67">
        <f t="shared" si="119"/>
        <v>3.0798916789253492E-2</v>
      </c>
    </row>
    <row r="141" spans="1:67" ht="12.75" customHeight="1" x14ac:dyDescent="0.2">
      <c r="A141" s="115">
        <v>20</v>
      </c>
      <c r="B141" s="73" t="str">
        <f>"Margin to meet TIER of "&amp;$E$23</f>
        <v>Margin to meet TIER of 1.2</v>
      </c>
      <c r="C141" s="29"/>
      <c r="D141" s="23" t="s">
        <v>221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67">
        <f t="shared" ref="R141:AW141" si="120">R165/R$47</f>
        <v>3.4334648584665894E-2</v>
      </c>
      <c r="S141" s="67">
        <f t="shared" si="120"/>
        <v>3.2899959411396958E-2</v>
      </c>
      <c r="T141" s="67">
        <f t="shared" si="120"/>
        <v>3.1491522285476269E-2</v>
      </c>
      <c r="U141" s="67">
        <f t="shared" si="120"/>
        <v>3.0108569005190287E-2</v>
      </c>
      <c r="V141" s="67">
        <f t="shared" si="120"/>
        <v>2.8750348233630044E-2</v>
      </c>
      <c r="W141" s="67">
        <f t="shared" si="120"/>
        <v>2.7416125059961955E-2</v>
      </c>
      <c r="X141" s="67">
        <f t="shared" si="120"/>
        <v>2.6105180570998403E-2</v>
      </c>
      <c r="Y141" s="67">
        <f t="shared" si="120"/>
        <v>2.4816811432811166E-2</v>
      </c>
      <c r="Z141" s="67">
        <f t="shared" si="120"/>
        <v>2.3550329482136638E-2</v>
      </c>
      <c r="AA141" s="67">
        <f t="shared" si="120"/>
        <v>2.2305061327328114E-2</v>
      </c>
      <c r="AB141" s="67">
        <f t="shared" si="120"/>
        <v>2.1080347958616043E-2</v>
      </c>
      <c r="AC141" s="67">
        <f t="shared" si="120"/>
        <v>1.9875544367443102E-2</v>
      </c>
      <c r="AD141" s="67">
        <f t="shared" si="120"/>
        <v>1.8690019174646366E-2</v>
      </c>
      <c r="AE141" s="67">
        <f t="shared" si="120"/>
        <v>1.7523154267264467E-2</v>
      </c>
      <c r="AF141" s="67">
        <f t="shared" si="120"/>
        <v>1.6374344443752787E-2</v>
      </c>
      <c r="AG141" s="67">
        <f t="shared" si="120"/>
        <v>1.524299706739516E-2</v>
      </c>
      <c r="AH141" s="67">
        <f t="shared" si="120"/>
        <v>1.4128531727705295E-2</v>
      </c>
      <c r="AI141" s="67">
        <f t="shared" si="120"/>
        <v>1.3030379909616472E-2</v>
      </c>
      <c r="AJ141" s="67">
        <f t="shared" si="120"/>
        <v>1.1947984670262497E-2</v>
      </c>
      <c r="AK141" s="67">
        <f t="shared" si="120"/>
        <v>1.0880800323157884E-2</v>
      </c>
      <c r="AL141" s="67">
        <f t="shared" si="120"/>
        <v>9.8282921295896625E-3</v>
      </c>
      <c r="AM141" s="67">
        <f t="shared" si="120"/>
        <v>8.7899359970377445E-3</v>
      </c>
      <c r="AN141" s="67">
        <f t="shared" si="120"/>
        <v>7.7652181844451431E-3</v>
      </c>
      <c r="AO141" s="67">
        <f t="shared" si="120"/>
        <v>6.7536350141635115E-3</v>
      </c>
      <c r="AP141" s="67">
        <f t="shared" si="120"/>
        <v>5.7546925904037611E-3</v>
      </c>
      <c r="AQ141" s="67">
        <f t="shared" si="120"/>
        <v>4.7679065240254269E-3</v>
      </c>
      <c r="AR141" s="67">
        <f t="shared" si="120"/>
        <v>3.7928016635024441E-3</v>
      </c>
      <c r="AS141" s="67">
        <f t="shared" si="120"/>
        <v>2.828911831906881E-3</v>
      </c>
      <c r="AT141" s="67">
        <f t="shared" si="120"/>
        <v>1.8757795697558555E-3</v>
      </c>
      <c r="AU141" s="67">
        <f t="shared" si="120"/>
        <v>9.3295588357057745E-4</v>
      </c>
      <c r="AV141" s="67">
        <f t="shared" si="120"/>
        <v>0</v>
      </c>
      <c r="AW141" s="67">
        <f t="shared" si="120"/>
        <v>0</v>
      </c>
      <c r="AX141" s="67">
        <f t="shared" ref="AX141:BO141" si="121">AX165/AX$47</f>
        <v>0</v>
      </c>
      <c r="AY141" s="67">
        <f t="shared" si="121"/>
        <v>0</v>
      </c>
      <c r="AZ141" s="67">
        <f t="shared" si="121"/>
        <v>0</v>
      </c>
      <c r="BA141" s="67">
        <f t="shared" si="121"/>
        <v>0</v>
      </c>
      <c r="BB141" s="67">
        <f t="shared" si="121"/>
        <v>0</v>
      </c>
      <c r="BC141" s="67">
        <f t="shared" si="121"/>
        <v>0</v>
      </c>
      <c r="BD141" s="67">
        <f t="shared" si="121"/>
        <v>0</v>
      </c>
      <c r="BE141" s="67">
        <f t="shared" si="121"/>
        <v>0</v>
      </c>
      <c r="BF141" s="67">
        <f t="shared" si="121"/>
        <v>0</v>
      </c>
      <c r="BG141" s="67">
        <f t="shared" si="121"/>
        <v>0</v>
      </c>
      <c r="BH141" s="67">
        <f t="shared" si="121"/>
        <v>0</v>
      </c>
      <c r="BI141" s="67">
        <f t="shared" si="121"/>
        <v>0</v>
      </c>
      <c r="BJ141" s="67">
        <f t="shared" si="121"/>
        <v>0</v>
      </c>
      <c r="BK141" s="67">
        <f t="shared" si="121"/>
        <v>0</v>
      </c>
      <c r="BL141" s="67">
        <f t="shared" si="121"/>
        <v>0</v>
      </c>
      <c r="BM141" s="67">
        <f t="shared" si="121"/>
        <v>0</v>
      </c>
      <c r="BN141" s="67">
        <f t="shared" si="121"/>
        <v>0</v>
      </c>
      <c r="BO141" s="67">
        <f t="shared" si="121"/>
        <v>0</v>
      </c>
    </row>
    <row r="142" spans="1:67" ht="12.75" customHeight="1" x14ac:dyDescent="0.2">
      <c r="A142" s="115">
        <v>21</v>
      </c>
      <c r="B142" s="73" t="s">
        <v>254</v>
      </c>
      <c r="C142" s="29"/>
      <c r="D142" s="23" t="s">
        <v>221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67">
        <f t="shared" ref="R142:AW142" si="122">-R169/R$47</f>
        <v>0</v>
      </c>
      <c r="S142" s="67">
        <f t="shared" si="122"/>
        <v>0</v>
      </c>
      <c r="T142" s="67">
        <f t="shared" si="122"/>
        <v>0</v>
      </c>
      <c r="U142" s="67">
        <f t="shared" si="122"/>
        <v>0</v>
      </c>
      <c r="V142" s="67">
        <f t="shared" si="122"/>
        <v>0</v>
      </c>
      <c r="W142" s="67">
        <f t="shared" si="122"/>
        <v>0</v>
      </c>
      <c r="X142" s="67">
        <f t="shared" si="122"/>
        <v>0</v>
      </c>
      <c r="Y142" s="67">
        <f t="shared" si="122"/>
        <v>0</v>
      </c>
      <c r="Z142" s="67">
        <f t="shared" si="122"/>
        <v>-1.8576827615359736E-2</v>
      </c>
      <c r="AA142" s="67">
        <f t="shared" si="122"/>
        <v>-3.3608946315309175E-2</v>
      </c>
      <c r="AB142" s="67">
        <f t="shared" si="122"/>
        <v>-3.2239429873671975E-2</v>
      </c>
      <c r="AC142" s="67">
        <f t="shared" si="122"/>
        <v>-3.0895270622654673E-2</v>
      </c>
      <c r="AD142" s="67">
        <f t="shared" si="122"/>
        <v>-2.9575732352982366E-2</v>
      </c>
      <c r="AE142" s="67">
        <f t="shared" si="122"/>
        <v>-2.8280095088661722E-2</v>
      </c>
      <c r="AF142" s="67">
        <f t="shared" si="122"/>
        <v>-2.7007654665832284E-2</v>
      </c>
      <c r="AG142" s="67">
        <f t="shared" si="122"/>
        <v>-2.5757722321520102E-2</v>
      </c>
      <c r="AH142" s="67">
        <f t="shared" si="122"/>
        <v>-2.452962429204808E-2</v>
      </c>
      <c r="AI142" s="67">
        <f t="shared" si="122"/>
        <v>-2.3322701420860542E-2</v>
      </c>
      <c r="AJ142" s="67">
        <f t="shared" si="122"/>
        <v>-2.2136308775528284E-2</v>
      </c>
      <c r="AK142" s="67">
        <f t="shared" si="122"/>
        <v>-2.0969815273703448E-2</v>
      </c>
      <c r="AL142" s="67">
        <f t="shared" si="122"/>
        <v>-1.9822603317800783E-2</v>
      </c>
      <c r="AM142" s="67">
        <f t="shared" si="122"/>
        <v>-1.8694068438186683E-2</v>
      </c>
      <c r="AN142" s="67">
        <f t="shared" si="122"/>
        <v>-1.7583618944662014E-2</v>
      </c>
      <c r="AO142" s="67">
        <f t="shared" si="122"/>
        <v>-1.6490675586031303E-2</v>
      </c>
      <c r="AP142" s="67">
        <f t="shared" si="122"/>
        <v>-1.5414671217554264E-2</v>
      </c>
      <c r="AQ142" s="67">
        <f t="shared" si="122"/>
        <v>-1.435505047608176E-2</v>
      </c>
      <c r="AR142" s="67">
        <f t="shared" si="122"/>
        <v>-1.3311269462682258E-2</v>
      </c>
      <c r="AS142" s="67">
        <f t="shared" si="122"/>
        <v>-1.2282795432569717E-2</v>
      </c>
      <c r="AT142" s="67">
        <f t="shared" si="122"/>
        <v>-1.1269106492148703E-2</v>
      </c>
      <c r="AU142" s="67">
        <f t="shared" si="122"/>
        <v>-1.0269691302996251E-2</v>
      </c>
      <c r="AV142" s="67">
        <f t="shared" si="122"/>
        <v>-9.2840487926047731E-3</v>
      </c>
      <c r="AW142" s="67">
        <f t="shared" si="122"/>
        <v>0</v>
      </c>
      <c r="AX142" s="67">
        <f t="shared" ref="AX142:BO142" si="123">-AX169/AX$47</f>
        <v>0</v>
      </c>
      <c r="AY142" s="67">
        <f t="shared" si="123"/>
        <v>0</v>
      </c>
      <c r="AZ142" s="67">
        <f t="shared" si="123"/>
        <v>0</v>
      </c>
      <c r="BA142" s="67">
        <f t="shared" si="123"/>
        <v>0</v>
      </c>
      <c r="BB142" s="67">
        <f t="shared" si="123"/>
        <v>0</v>
      </c>
      <c r="BC142" s="67">
        <f t="shared" si="123"/>
        <v>0</v>
      </c>
      <c r="BD142" s="67">
        <f t="shared" si="123"/>
        <v>0</v>
      </c>
      <c r="BE142" s="67">
        <f t="shared" si="123"/>
        <v>0</v>
      </c>
      <c r="BF142" s="67">
        <f t="shared" si="123"/>
        <v>0</v>
      </c>
      <c r="BG142" s="67">
        <f t="shared" si="123"/>
        <v>0</v>
      </c>
      <c r="BH142" s="67">
        <f t="shared" si="123"/>
        <v>0</v>
      </c>
      <c r="BI142" s="67">
        <f t="shared" si="123"/>
        <v>0</v>
      </c>
      <c r="BJ142" s="67">
        <f t="shared" si="123"/>
        <v>0</v>
      </c>
      <c r="BK142" s="67">
        <f t="shared" si="123"/>
        <v>0</v>
      </c>
      <c r="BL142" s="67">
        <f t="shared" si="123"/>
        <v>0</v>
      </c>
      <c r="BM142" s="67">
        <f t="shared" si="123"/>
        <v>0</v>
      </c>
      <c r="BN142" s="67">
        <f t="shared" si="123"/>
        <v>0</v>
      </c>
      <c r="BO142" s="67">
        <f t="shared" si="123"/>
        <v>0</v>
      </c>
    </row>
    <row r="143" spans="1:67" ht="12.75" customHeight="1" x14ac:dyDescent="0.2">
      <c r="A143" s="115">
        <v>23</v>
      </c>
      <c r="B143" s="17" t="s">
        <v>503</v>
      </c>
      <c r="D143" s="23" t="s">
        <v>221</v>
      </c>
      <c r="F143" s="19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16">
        <f>SUM(R140:R142)</f>
        <v>0.26692620223882779</v>
      </c>
      <c r="S143" s="216">
        <f>SUM(S140:S142)</f>
        <v>0.2572712791326085</v>
      </c>
      <c r="T143" s="216">
        <f t="shared" ref="T143:BO143" si="124">SUM(T140:T142)</f>
        <v>0.2477993997267374</v>
      </c>
      <c r="U143" s="216">
        <f t="shared" si="124"/>
        <v>0.23850533209346345</v>
      </c>
      <c r="V143" s="216">
        <f t="shared" si="124"/>
        <v>0.22938396068209416</v>
      </c>
      <c r="W143" s="216">
        <f t="shared" si="124"/>
        <v>0.22043028331617551</v>
      </c>
      <c r="X143" s="216">
        <f t="shared" si="124"/>
        <v>0.21163940826150632</v>
      </c>
      <c r="Y143" s="216">
        <f t="shared" si="124"/>
        <v>0.20300655136322399</v>
      </c>
      <c r="Z143" s="216">
        <f t="shared" si="124"/>
        <v>0.17595020563488156</v>
      </c>
      <c r="AA143" s="216">
        <f t="shared" si="124"/>
        <v>0.15258733029004631</v>
      </c>
      <c r="AB143" s="216">
        <f t="shared" si="124"/>
        <v>0.14577037362571871</v>
      </c>
      <c r="AC143" s="216">
        <f t="shared" si="124"/>
        <v>0.13906796216512043</v>
      </c>
      <c r="AD143" s="216">
        <f t="shared" si="124"/>
        <v>0.13247654521500948</v>
      </c>
      <c r="AE143" s="216">
        <f t="shared" si="124"/>
        <v>0.12599264760771892</v>
      </c>
      <c r="AF143" s="216">
        <f t="shared" si="124"/>
        <v>0.11961286769697109</v>
      </c>
      <c r="AG143" s="216">
        <f t="shared" si="124"/>
        <v>0.11333387540020368</v>
      </c>
      <c r="AH143" s="216">
        <f t="shared" si="124"/>
        <v>0.10715241028623523</v>
      </c>
      <c r="AI143" s="216">
        <f t="shared" si="124"/>
        <v>0.1010652797071325</v>
      </c>
      <c r="AJ143" s="216">
        <f t="shared" si="124"/>
        <v>9.5069356973162988E-2</v>
      </c>
      <c r="AK143" s="216">
        <f t="shared" si="124"/>
        <v>8.9161579569747546E-2</v>
      </c>
      <c r="AL143" s="216">
        <f t="shared" si="124"/>
        <v>8.3338947415350556E-2</v>
      </c>
      <c r="AM143" s="216">
        <f t="shared" si="124"/>
        <v>7.7598521159272349E-2</v>
      </c>
      <c r="AN143" s="216">
        <f t="shared" si="124"/>
        <v>7.1937420518333295E-2</v>
      </c>
      <c r="AO143" s="216">
        <f t="shared" si="124"/>
        <v>6.6352822651461432E-2</v>
      </c>
      <c r="AP143" s="216">
        <f t="shared" si="124"/>
        <v>6.0841960571221133E-2</v>
      </c>
      <c r="AQ143" s="216">
        <f t="shared" si="124"/>
        <v>5.5402121591341856E-2</v>
      </c>
      <c r="AR143" s="216">
        <f t="shared" si="124"/>
        <v>5.0030645809328575E-2</v>
      </c>
      <c r="AS143" s="216">
        <f t="shared" si="124"/>
        <v>4.4724924623258062E-2</v>
      </c>
      <c r="AT143" s="216">
        <f t="shared" si="124"/>
        <v>3.9482399281885447E-2</v>
      </c>
      <c r="AU143" s="216">
        <f t="shared" si="124"/>
        <v>3.430055946720674E-2</v>
      </c>
      <c r="AV143" s="216">
        <f t="shared" si="124"/>
        <v>2.9176941908643551E-2</v>
      </c>
      <c r="AW143" s="216">
        <f t="shared" si="124"/>
        <v>3.7961942147559338E-2</v>
      </c>
      <c r="AX143" s="216">
        <f t="shared" si="124"/>
        <v>3.7475065509813991E-2</v>
      </c>
      <c r="AY143" s="216">
        <f t="shared" si="124"/>
        <v>3.7000063912013652E-2</v>
      </c>
      <c r="AZ143" s="216">
        <f t="shared" si="124"/>
        <v>3.653664771903771E-2</v>
      </c>
      <c r="BA143" s="216">
        <f t="shared" si="124"/>
        <v>3.6084534360036793E-2</v>
      </c>
      <c r="BB143" s="216">
        <f t="shared" si="124"/>
        <v>3.5643448156133455E-2</v>
      </c>
      <c r="BC143" s="216">
        <f t="shared" si="124"/>
        <v>3.521312015232532E-2</v>
      </c>
      <c r="BD143" s="216">
        <f t="shared" si="124"/>
        <v>3.4793287953488121E-2</v>
      </c>
      <c r="BE143" s="216">
        <f t="shared" si="124"/>
        <v>3.4383695564378661E-2</v>
      </c>
      <c r="BF143" s="216">
        <f t="shared" si="124"/>
        <v>3.3984093233540152E-2</v>
      </c>
      <c r="BG143" s="216">
        <f t="shared" si="124"/>
        <v>3.3594237301014788E-2</v>
      </c>
      <c r="BH143" s="216">
        <f t="shared" si="124"/>
        <v>3.3213890049770524E-2</v>
      </c>
      <c r="BI143" s="216">
        <f t="shared" si="124"/>
        <v>3.2842819560751732E-2</v>
      </c>
      <c r="BJ143" s="216">
        <f t="shared" si="124"/>
        <v>3.2480799571465102E-2</v>
      </c>
      <c r="BK143" s="216">
        <f t="shared" si="124"/>
        <v>3.2127609338014736E-2</v>
      </c>
      <c r="BL143" s="216">
        <f t="shared" si="124"/>
        <v>3.1783033500502184E-2</v>
      </c>
      <c r="BM143" s="216">
        <f t="shared" si="124"/>
        <v>3.1446861951709447E-2</v>
      </c>
      <c r="BN143" s="216">
        <f t="shared" si="124"/>
        <v>3.1118889708984826E-2</v>
      </c>
      <c r="BO143" s="216">
        <f t="shared" si="124"/>
        <v>3.0798916789253492E-2</v>
      </c>
    </row>
    <row r="144" spans="1:67" ht="12.75" customHeight="1" x14ac:dyDescent="0.2">
      <c r="A144" s="115">
        <v>24</v>
      </c>
      <c r="C144" s="23" t="s">
        <v>79</v>
      </c>
      <c r="D144" s="23" t="s"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>
        <f t="shared" ref="R144:AW144" si="125">$E$7</f>
        <v>2800000.1</v>
      </c>
      <c r="S144" s="46">
        <f t="shared" si="125"/>
        <v>2800000.1</v>
      </c>
      <c r="T144" s="46">
        <f t="shared" si="125"/>
        <v>2800000.1</v>
      </c>
      <c r="U144" s="46">
        <f t="shared" si="125"/>
        <v>2800000.1</v>
      </c>
      <c r="V144" s="46">
        <f t="shared" si="125"/>
        <v>2800000.1</v>
      </c>
      <c r="W144" s="46">
        <f t="shared" si="125"/>
        <v>2800000.1</v>
      </c>
      <c r="X144" s="46">
        <f t="shared" si="125"/>
        <v>2800000.1</v>
      </c>
      <c r="Y144" s="46">
        <f t="shared" si="125"/>
        <v>2800000.1</v>
      </c>
      <c r="Z144" s="46">
        <f t="shared" si="125"/>
        <v>2800000.1</v>
      </c>
      <c r="AA144" s="46">
        <f t="shared" si="125"/>
        <v>2800000.1</v>
      </c>
      <c r="AB144" s="46">
        <f t="shared" si="125"/>
        <v>2800000.1</v>
      </c>
      <c r="AC144" s="46">
        <f t="shared" si="125"/>
        <v>2800000.1</v>
      </c>
      <c r="AD144" s="46">
        <f t="shared" si="125"/>
        <v>2800000.1</v>
      </c>
      <c r="AE144" s="46">
        <f t="shared" si="125"/>
        <v>2800000.1</v>
      </c>
      <c r="AF144" s="46">
        <f t="shared" si="125"/>
        <v>2800000.1</v>
      </c>
      <c r="AG144" s="46">
        <f t="shared" si="125"/>
        <v>2800000.1</v>
      </c>
      <c r="AH144" s="46">
        <f t="shared" si="125"/>
        <v>2800000.1</v>
      </c>
      <c r="AI144" s="46">
        <f t="shared" si="125"/>
        <v>2800000.1</v>
      </c>
      <c r="AJ144" s="46">
        <f t="shared" si="125"/>
        <v>2800000.1</v>
      </c>
      <c r="AK144" s="46">
        <f t="shared" si="125"/>
        <v>2800000.1</v>
      </c>
      <c r="AL144" s="46">
        <f t="shared" si="125"/>
        <v>2800000.1</v>
      </c>
      <c r="AM144" s="46">
        <f t="shared" si="125"/>
        <v>2800000.1</v>
      </c>
      <c r="AN144" s="46">
        <f t="shared" si="125"/>
        <v>2800000.1</v>
      </c>
      <c r="AO144" s="46">
        <f t="shared" si="125"/>
        <v>2800000.1</v>
      </c>
      <c r="AP144" s="46">
        <f t="shared" si="125"/>
        <v>2800000.1</v>
      </c>
      <c r="AQ144" s="46">
        <f t="shared" si="125"/>
        <v>2800000.1</v>
      </c>
      <c r="AR144" s="46">
        <f t="shared" si="125"/>
        <v>2800000.1</v>
      </c>
      <c r="AS144" s="46">
        <f t="shared" si="125"/>
        <v>2800000.1</v>
      </c>
      <c r="AT144" s="46">
        <f t="shared" si="125"/>
        <v>2800000.1</v>
      </c>
      <c r="AU144" s="46">
        <f t="shared" si="125"/>
        <v>2800000.1</v>
      </c>
      <c r="AV144" s="46">
        <f t="shared" si="125"/>
        <v>2800000.1</v>
      </c>
      <c r="AW144" s="46">
        <f t="shared" si="125"/>
        <v>2800000.1</v>
      </c>
      <c r="AX144" s="46">
        <f t="shared" ref="AX144:BO144" si="126">$E$7</f>
        <v>2800000.1</v>
      </c>
      <c r="AY144" s="46">
        <f t="shared" si="126"/>
        <v>2800000.1</v>
      </c>
      <c r="AZ144" s="46">
        <f t="shared" si="126"/>
        <v>2800000.1</v>
      </c>
      <c r="BA144" s="46">
        <f t="shared" si="126"/>
        <v>2800000.1</v>
      </c>
      <c r="BB144" s="46">
        <f t="shared" si="126"/>
        <v>2800000.1</v>
      </c>
      <c r="BC144" s="46">
        <f t="shared" si="126"/>
        <v>2800000.1</v>
      </c>
      <c r="BD144" s="46">
        <f t="shared" si="126"/>
        <v>2800000.1</v>
      </c>
      <c r="BE144" s="46">
        <f t="shared" si="126"/>
        <v>2800000.1</v>
      </c>
      <c r="BF144" s="46">
        <f t="shared" si="126"/>
        <v>2800000.1</v>
      </c>
      <c r="BG144" s="46">
        <f t="shared" si="126"/>
        <v>2800000.1</v>
      </c>
      <c r="BH144" s="46">
        <f t="shared" si="126"/>
        <v>2800000.1</v>
      </c>
      <c r="BI144" s="46">
        <f t="shared" si="126"/>
        <v>2800000.1</v>
      </c>
      <c r="BJ144" s="46">
        <f t="shared" si="126"/>
        <v>2800000.1</v>
      </c>
      <c r="BK144" s="46">
        <f t="shared" si="126"/>
        <v>2800000.1</v>
      </c>
      <c r="BL144" s="46">
        <f t="shared" si="126"/>
        <v>2800000.1</v>
      </c>
      <c r="BM144" s="46">
        <f t="shared" si="126"/>
        <v>2800000.1</v>
      </c>
      <c r="BN144" s="46">
        <f t="shared" si="126"/>
        <v>2800000.1</v>
      </c>
      <c r="BO144" s="46">
        <f t="shared" si="126"/>
        <v>2800000.1</v>
      </c>
    </row>
    <row r="145" spans="1:68" ht="12.75" customHeight="1" x14ac:dyDescent="0.2">
      <c r="A145" s="115">
        <v>25</v>
      </c>
      <c r="C145" s="23" t="s">
        <v>82</v>
      </c>
      <c r="D145" s="23" t="s">
        <v>0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>
        <f>R144*$E$20</f>
        <v>2660000.0949999997</v>
      </c>
      <c r="S145" s="46">
        <f t="shared" ref="S145:BO145" si="127">S144*$E$20</f>
        <v>2660000.0949999997</v>
      </c>
      <c r="T145" s="46">
        <f t="shared" si="127"/>
        <v>2660000.0949999997</v>
      </c>
      <c r="U145" s="46">
        <f t="shared" si="127"/>
        <v>2660000.0949999997</v>
      </c>
      <c r="V145" s="46">
        <f t="shared" si="127"/>
        <v>2660000.0949999997</v>
      </c>
      <c r="W145" s="46">
        <f t="shared" si="127"/>
        <v>2660000.0949999997</v>
      </c>
      <c r="X145" s="46">
        <f t="shared" si="127"/>
        <v>2660000.0949999997</v>
      </c>
      <c r="Y145" s="46">
        <f t="shared" si="127"/>
        <v>2660000.0949999997</v>
      </c>
      <c r="Z145" s="46">
        <f t="shared" si="127"/>
        <v>2660000.0949999997</v>
      </c>
      <c r="AA145" s="46">
        <f t="shared" si="127"/>
        <v>2660000.0949999997</v>
      </c>
      <c r="AB145" s="46">
        <f t="shared" si="127"/>
        <v>2660000.0949999997</v>
      </c>
      <c r="AC145" s="46">
        <f t="shared" si="127"/>
        <v>2660000.0949999997</v>
      </c>
      <c r="AD145" s="46">
        <f t="shared" si="127"/>
        <v>2660000.0949999997</v>
      </c>
      <c r="AE145" s="46">
        <f t="shared" si="127"/>
        <v>2660000.0949999997</v>
      </c>
      <c r="AF145" s="46">
        <f t="shared" si="127"/>
        <v>2660000.0949999997</v>
      </c>
      <c r="AG145" s="46">
        <f t="shared" si="127"/>
        <v>2660000.0949999997</v>
      </c>
      <c r="AH145" s="46">
        <f t="shared" si="127"/>
        <v>2660000.0949999997</v>
      </c>
      <c r="AI145" s="46">
        <f t="shared" si="127"/>
        <v>2660000.0949999997</v>
      </c>
      <c r="AJ145" s="46">
        <f t="shared" si="127"/>
        <v>2660000.0949999997</v>
      </c>
      <c r="AK145" s="46">
        <f t="shared" si="127"/>
        <v>2660000.0949999997</v>
      </c>
      <c r="AL145" s="46">
        <f t="shared" si="127"/>
        <v>2660000.0949999997</v>
      </c>
      <c r="AM145" s="46">
        <f t="shared" si="127"/>
        <v>2660000.0949999997</v>
      </c>
      <c r="AN145" s="46">
        <f t="shared" si="127"/>
        <v>2660000.0949999997</v>
      </c>
      <c r="AO145" s="46">
        <f t="shared" si="127"/>
        <v>2660000.0949999997</v>
      </c>
      <c r="AP145" s="46">
        <f t="shared" si="127"/>
        <v>2660000.0949999997</v>
      </c>
      <c r="AQ145" s="46">
        <f t="shared" si="127"/>
        <v>2660000.0949999997</v>
      </c>
      <c r="AR145" s="46">
        <f t="shared" si="127"/>
        <v>2660000.0949999997</v>
      </c>
      <c r="AS145" s="46">
        <f t="shared" si="127"/>
        <v>2660000.0949999997</v>
      </c>
      <c r="AT145" s="46">
        <f t="shared" si="127"/>
        <v>2660000.0949999997</v>
      </c>
      <c r="AU145" s="46">
        <f t="shared" si="127"/>
        <v>2660000.0949999997</v>
      </c>
      <c r="AV145" s="46">
        <f t="shared" si="127"/>
        <v>2660000.0949999997</v>
      </c>
      <c r="AW145" s="46">
        <f t="shared" si="127"/>
        <v>2660000.0949999997</v>
      </c>
      <c r="AX145" s="46">
        <f t="shared" si="127"/>
        <v>2660000.0949999997</v>
      </c>
      <c r="AY145" s="46">
        <f t="shared" si="127"/>
        <v>2660000.0949999997</v>
      </c>
      <c r="AZ145" s="46">
        <f t="shared" si="127"/>
        <v>2660000.0949999997</v>
      </c>
      <c r="BA145" s="46">
        <f t="shared" si="127"/>
        <v>2660000.0949999997</v>
      </c>
      <c r="BB145" s="46">
        <f t="shared" si="127"/>
        <v>2660000.0949999997</v>
      </c>
      <c r="BC145" s="46">
        <f t="shared" si="127"/>
        <v>2660000.0949999997</v>
      </c>
      <c r="BD145" s="46">
        <f t="shared" si="127"/>
        <v>2660000.0949999997</v>
      </c>
      <c r="BE145" s="46">
        <f t="shared" si="127"/>
        <v>2660000.0949999997</v>
      </c>
      <c r="BF145" s="46">
        <f t="shared" si="127"/>
        <v>2660000.0949999997</v>
      </c>
      <c r="BG145" s="46">
        <f t="shared" si="127"/>
        <v>2660000.0949999997</v>
      </c>
      <c r="BH145" s="46">
        <f t="shared" si="127"/>
        <v>2660000.0949999997</v>
      </c>
      <c r="BI145" s="46">
        <f t="shared" si="127"/>
        <v>2660000.0949999997</v>
      </c>
      <c r="BJ145" s="46">
        <f t="shared" si="127"/>
        <v>2660000.0949999997</v>
      </c>
      <c r="BK145" s="46">
        <f t="shared" si="127"/>
        <v>2660000.0949999997</v>
      </c>
      <c r="BL145" s="46">
        <f t="shared" si="127"/>
        <v>2660000.0949999997</v>
      </c>
      <c r="BM145" s="46">
        <f t="shared" si="127"/>
        <v>2660000.0949999997</v>
      </c>
      <c r="BN145" s="46">
        <f t="shared" si="127"/>
        <v>2660000.0949999997</v>
      </c>
      <c r="BO145" s="46">
        <f t="shared" si="127"/>
        <v>2660000.0949999997</v>
      </c>
    </row>
    <row r="146" spans="1:68" ht="12.75" customHeight="1" x14ac:dyDescent="0.2">
      <c r="A146" s="115">
        <v>26</v>
      </c>
      <c r="B146" s="23" t="s">
        <v>485</v>
      </c>
      <c r="D146" s="23" t="s">
        <v>223</v>
      </c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226">
        <f>R143*1000000000/(R145*1000)</f>
        <v>0.10034819274652237</v>
      </c>
      <c r="S146" s="226">
        <f t="shared" ref="S146:BO146" si="128">S143*1000000000/(S145*1000)</f>
        <v>9.6718522535469517E-2</v>
      </c>
      <c r="T146" s="226">
        <f t="shared" si="128"/>
        <v>9.3157665743142562E-2</v>
      </c>
      <c r="U146" s="226">
        <f t="shared" si="128"/>
        <v>8.9663655479479784E-2</v>
      </c>
      <c r="V146" s="226">
        <f t="shared" si="128"/>
        <v>8.6234568605191797E-2</v>
      </c>
      <c r="W146" s="226">
        <f t="shared" si="128"/>
        <v>8.2868524602881855E-2</v>
      </c>
      <c r="X146" s="226">
        <f t="shared" si="128"/>
        <v>7.9563684474795615E-2</v>
      </c>
      <c r="Y146" s="226">
        <f t="shared" si="128"/>
        <v>7.6318249666537719E-2</v>
      </c>
      <c r="Z146" s="226">
        <f t="shared" si="128"/>
        <v>6.6146691485318002E-2</v>
      </c>
      <c r="AA146" s="226">
        <f t="shared" si="128"/>
        <v>5.7363655955074817E-2</v>
      </c>
      <c r="AB146" s="226">
        <f t="shared" si="128"/>
        <v>5.4800890383321109E-2</v>
      </c>
      <c r="AC146" s="226">
        <f t="shared" si="128"/>
        <v>5.2281186916694623E-2</v>
      </c>
      <c r="AD146" s="226">
        <f t="shared" si="128"/>
        <v>4.980321070815958E-2</v>
      </c>
      <c r="AE146" s="226">
        <f t="shared" si="128"/>
        <v>4.7365655303752516E-2</v>
      </c>
      <c r="AF146" s="226">
        <f t="shared" si="128"/>
        <v>4.4967241889128998E-2</v>
      </c>
      <c r="AG146" s="226">
        <f t="shared" si="128"/>
        <v>4.2606718553596025E-2</v>
      </c>
      <c r="AH146" s="226">
        <f t="shared" si="128"/>
        <v>4.0282859571189322E-2</v>
      </c>
      <c r="AI146" s="226">
        <f t="shared" si="128"/>
        <v>3.7994464698367814E-2</v>
      </c>
      <c r="AJ146" s="226">
        <f t="shared" si="128"/>
        <v>3.5740358487905619E-2</v>
      </c>
      <c r="AK146" s="226">
        <f t="shared" si="128"/>
        <v>3.3519389618573515E-2</v>
      </c>
      <c r="AL146" s="226">
        <f t="shared" si="128"/>
        <v>3.1330430240210413E-2</v>
      </c>
      <c r="AM146" s="226">
        <f t="shared" si="128"/>
        <v>2.9172375333795752E-2</v>
      </c>
      <c r="AN146" s="226">
        <f t="shared" si="128"/>
        <v>2.7044142086142788E-2</v>
      </c>
      <c r="AO146" s="226">
        <f t="shared" si="128"/>
        <v>2.49446692788413E-2</v>
      </c>
      <c r="AP146" s="226">
        <f t="shared" si="128"/>
        <v>2.2872916691087992E-2</v>
      </c>
      <c r="AQ146" s="226">
        <f t="shared" si="128"/>
        <v>2.0827864516050652E-2</v>
      </c>
      <c r="AR146" s="226">
        <f t="shared" si="128"/>
        <v>1.8808512790421006E-2</v>
      </c>
      <c r="AS146" s="226">
        <f t="shared" si="128"/>
        <v>1.6813880836819318E-2</v>
      </c>
      <c r="AT146" s="226">
        <f t="shared" si="128"/>
        <v>1.4843006718721734E-2</v>
      </c>
      <c r="AU146" s="226">
        <f t="shared" si="128"/>
        <v>1.2894946707589025E-2</v>
      </c>
      <c r="AV146" s="226">
        <f t="shared" si="128"/>
        <v>1.0968774761883441E-2</v>
      </c>
      <c r="AW146" s="226">
        <f t="shared" si="128"/>
        <v>1.4271406312697648E-2</v>
      </c>
      <c r="AX146" s="226">
        <f t="shared" si="128"/>
        <v>1.4088369989255207E-2</v>
      </c>
      <c r="AY146" s="226">
        <f t="shared" si="128"/>
        <v>1.3909797966384529E-2</v>
      </c>
      <c r="AZ146" s="226">
        <f t="shared" si="128"/>
        <v>1.3735581358705822E-2</v>
      </c>
      <c r="BA146" s="226">
        <f t="shared" si="128"/>
        <v>1.3565613936580253E-2</v>
      </c>
      <c r="BB146" s="226">
        <f t="shared" si="128"/>
        <v>1.3399792061335796E-2</v>
      </c>
      <c r="BC146" s="226">
        <f t="shared" si="128"/>
        <v>1.3238014622072908E-2</v>
      </c>
      <c r="BD146" s="226">
        <f t="shared" si="128"/>
        <v>1.3080182974011558E-2</v>
      </c>
      <c r="BE146" s="226">
        <f t="shared" si="128"/>
        <v>1.292620087834195E-2</v>
      </c>
      <c r="BF146" s="226">
        <f t="shared" si="128"/>
        <v>1.2775974443542327E-2</v>
      </c>
      <c r="BG146" s="226">
        <f t="shared" si="128"/>
        <v>1.2629412068128064E-2</v>
      </c>
      <c r="BH146" s="226">
        <f t="shared" si="128"/>
        <v>1.2486424384797072E-2</v>
      </c>
      <c r="BI146" s="226">
        <f t="shared" si="128"/>
        <v>1.2346924205937571E-2</v>
      </c>
      <c r="BJ146" s="226">
        <f t="shared" si="128"/>
        <v>1.2210826470464885E-2</v>
      </c>
      <c r="BK146" s="226">
        <f t="shared" si="128"/>
        <v>1.2078048191954949E-2</v>
      </c>
      <c r="BL146" s="226">
        <f t="shared" si="128"/>
        <v>1.1948508408042817E-2</v>
      </c>
      <c r="BM146" s="226">
        <f t="shared" si="128"/>
        <v>1.1822128131055367E-2</v>
      </c>
      <c r="BN146" s="226">
        <f t="shared" si="128"/>
        <v>1.1698830299848103E-2</v>
      </c>
      <c r="BO146" s="226">
        <f t="shared" si="128"/>
        <v>1.1578539732816626E-2</v>
      </c>
    </row>
    <row r="147" spans="1:68" ht="12.75" customHeight="1" x14ac:dyDescent="0.2">
      <c r="A147" s="115">
        <v>27</v>
      </c>
      <c r="B147" s="23" t="s">
        <v>71</v>
      </c>
      <c r="D147" s="23" t="s">
        <v>223</v>
      </c>
      <c r="F147" s="32"/>
      <c r="R147" s="45">
        <f>$E$21</f>
        <v>4.8000000000000001E-2</v>
      </c>
      <c r="S147" s="45">
        <f t="shared" ref="S147:BO147" si="129">$E$21</f>
        <v>4.8000000000000001E-2</v>
      </c>
      <c r="T147" s="45">
        <f t="shared" si="129"/>
        <v>4.8000000000000001E-2</v>
      </c>
      <c r="U147" s="45">
        <f t="shared" si="129"/>
        <v>4.8000000000000001E-2</v>
      </c>
      <c r="V147" s="45">
        <f t="shared" si="129"/>
        <v>4.8000000000000001E-2</v>
      </c>
      <c r="W147" s="45">
        <f t="shared" si="129"/>
        <v>4.8000000000000001E-2</v>
      </c>
      <c r="X147" s="45">
        <f t="shared" si="129"/>
        <v>4.8000000000000001E-2</v>
      </c>
      <c r="Y147" s="45">
        <f t="shared" si="129"/>
        <v>4.8000000000000001E-2</v>
      </c>
      <c r="Z147" s="45">
        <f t="shared" si="129"/>
        <v>4.8000000000000001E-2</v>
      </c>
      <c r="AA147" s="45">
        <f t="shared" si="129"/>
        <v>4.8000000000000001E-2</v>
      </c>
      <c r="AB147" s="45">
        <f t="shared" si="129"/>
        <v>4.8000000000000001E-2</v>
      </c>
      <c r="AC147" s="45">
        <f t="shared" si="129"/>
        <v>4.8000000000000001E-2</v>
      </c>
      <c r="AD147" s="45">
        <f t="shared" si="129"/>
        <v>4.8000000000000001E-2</v>
      </c>
      <c r="AE147" s="45">
        <f t="shared" si="129"/>
        <v>4.8000000000000001E-2</v>
      </c>
      <c r="AF147" s="45">
        <f t="shared" si="129"/>
        <v>4.8000000000000001E-2</v>
      </c>
      <c r="AG147" s="45">
        <f t="shared" si="129"/>
        <v>4.8000000000000001E-2</v>
      </c>
      <c r="AH147" s="45">
        <f t="shared" si="129"/>
        <v>4.8000000000000001E-2</v>
      </c>
      <c r="AI147" s="45">
        <f t="shared" si="129"/>
        <v>4.8000000000000001E-2</v>
      </c>
      <c r="AJ147" s="45">
        <f t="shared" si="129"/>
        <v>4.8000000000000001E-2</v>
      </c>
      <c r="AK147" s="45">
        <f t="shared" si="129"/>
        <v>4.8000000000000001E-2</v>
      </c>
      <c r="AL147" s="45">
        <f t="shared" si="129"/>
        <v>4.8000000000000001E-2</v>
      </c>
      <c r="AM147" s="45">
        <f t="shared" si="129"/>
        <v>4.8000000000000001E-2</v>
      </c>
      <c r="AN147" s="45">
        <f t="shared" si="129"/>
        <v>4.8000000000000001E-2</v>
      </c>
      <c r="AO147" s="45">
        <f t="shared" si="129"/>
        <v>4.8000000000000001E-2</v>
      </c>
      <c r="AP147" s="45">
        <f t="shared" si="129"/>
        <v>4.8000000000000001E-2</v>
      </c>
      <c r="AQ147" s="45">
        <f t="shared" si="129"/>
        <v>4.8000000000000001E-2</v>
      </c>
      <c r="AR147" s="45">
        <f t="shared" si="129"/>
        <v>4.8000000000000001E-2</v>
      </c>
      <c r="AS147" s="45">
        <f t="shared" si="129"/>
        <v>4.8000000000000001E-2</v>
      </c>
      <c r="AT147" s="45">
        <f t="shared" si="129"/>
        <v>4.8000000000000001E-2</v>
      </c>
      <c r="AU147" s="45">
        <f t="shared" si="129"/>
        <v>4.8000000000000001E-2</v>
      </c>
      <c r="AV147" s="45">
        <f t="shared" si="129"/>
        <v>4.8000000000000001E-2</v>
      </c>
      <c r="AW147" s="45">
        <f t="shared" si="129"/>
        <v>4.8000000000000001E-2</v>
      </c>
      <c r="AX147" s="45">
        <f t="shared" si="129"/>
        <v>4.8000000000000001E-2</v>
      </c>
      <c r="AY147" s="45">
        <f t="shared" si="129"/>
        <v>4.8000000000000001E-2</v>
      </c>
      <c r="AZ147" s="45">
        <f t="shared" si="129"/>
        <v>4.8000000000000001E-2</v>
      </c>
      <c r="BA147" s="45">
        <f t="shared" si="129"/>
        <v>4.8000000000000001E-2</v>
      </c>
      <c r="BB147" s="45">
        <f t="shared" si="129"/>
        <v>4.8000000000000001E-2</v>
      </c>
      <c r="BC147" s="45">
        <f t="shared" si="129"/>
        <v>4.8000000000000001E-2</v>
      </c>
      <c r="BD147" s="45">
        <f t="shared" si="129"/>
        <v>4.8000000000000001E-2</v>
      </c>
      <c r="BE147" s="45">
        <f t="shared" si="129"/>
        <v>4.8000000000000001E-2</v>
      </c>
      <c r="BF147" s="45">
        <f t="shared" si="129"/>
        <v>4.8000000000000001E-2</v>
      </c>
      <c r="BG147" s="45">
        <f t="shared" si="129"/>
        <v>4.8000000000000001E-2</v>
      </c>
      <c r="BH147" s="45">
        <f t="shared" si="129"/>
        <v>4.8000000000000001E-2</v>
      </c>
      <c r="BI147" s="45">
        <f t="shared" si="129"/>
        <v>4.8000000000000001E-2</v>
      </c>
      <c r="BJ147" s="45">
        <f t="shared" si="129"/>
        <v>4.8000000000000001E-2</v>
      </c>
      <c r="BK147" s="45">
        <f t="shared" si="129"/>
        <v>4.8000000000000001E-2</v>
      </c>
      <c r="BL147" s="45">
        <f t="shared" si="129"/>
        <v>4.8000000000000001E-2</v>
      </c>
      <c r="BM147" s="45">
        <f t="shared" si="129"/>
        <v>4.8000000000000001E-2</v>
      </c>
      <c r="BN147" s="45">
        <f t="shared" si="129"/>
        <v>4.8000000000000001E-2</v>
      </c>
      <c r="BO147" s="45">
        <f t="shared" si="129"/>
        <v>4.8000000000000001E-2</v>
      </c>
    </row>
    <row r="148" spans="1:68" ht="12.75" customHeight="1" x14ac:dyDescent="0.2">
      <c r="A148" s="115">
        <v>28</v>
      </c>
      <c r="B148" s="28" t="s">
        <v>220</v>
      </c>
      <c r="D148" s="23" t="s">
        <v>223</v>
      </c>
      <c r="F148" s="32"/>
      <c r="R148" s="226">
        <f>R146+R147</f>
        <v>0.14834819274652239</v>
      </c>
      <c r="S148" s="226">
        <f t="shared" ref="S148:BO148" si="130">S146+S147</f>
        <v>0.14471852253546952</v>
      </c>
      <c r="T148" s="226">
        <f t="shared" si="130"/>
        <v>0.14115766574314256</v>
      </c>
      <c r="U148" s="226">
        <f t="shared" si="130"/>
        <v>0.13766365547947979</v>
      </c>
      <c r="V148" s="226">
        <f t="shared" si="130"/>
        <v>0.13423456860519178</v>
      </c>
      <c r="W148" s="226">
        <f t="shared" si="130"/>
        <v>0.13086852460288184</v>
      </c>
      <c r="X148" s="226">
        <f t="shared" si="130"/>
        <v>0.1275636844747956</v>
      </c>
      <c r="Y148" s="226">
        <f t="shared" si="130"/>
        <v>0.12431824966653772</v>
      </c>
      <c r="Z148" s="226">
        <f t="shared" si="130"/>
        <v>0.114146691485318</v>
      </c>
      <c r="AA148" s="226">
        <f t="shared" si="130"/>
        <v>0.10536365595507483</v>
      </c>
      <c r="AB148" s="226">
        <f t="shared" si="130"/>
        <v>0.1028008903833211</v>
      </c>
      <c r="AC148" s="226">
        <f t="shared" si="130"/>
        <v>0.10028118691669463</v>
      </c>
      <c r="AD148" s="226">
        <f t="shared" si="130"/>
        <v>9.7803210708159588E-2</v>
      </c>
      <c r="AE148" s="226">
        <f t="shared" si="130"/>
        <v>9.5365655303752517E-2</v>
      </c>
      <c r="AF148" s="226">
        <f t="shared" si="130"/>
        <v>9.2967241889128999E-2</v>
      </c>
      <c r="AG148" s="226">
        <f t="shared" si="130"/>
        <v>9.0606718553596033E-2</v>
      </c>
      <c r="AH148" s="226">
        <f t="shared" si="130"/>
        <v>8.8282859571189323E-2</v>
      </c>
      <c r="AI148" s="226">
        <f t="shared" si="130"/>
        <v>8.5994464698367815E-2</v>
      </c>
      <c r="AJ148" s="226">
        <f t="shared" si="130"/>
        <v>8.374035848790562E-2</v>
      </c>
      <c r="AK148" s="226">
        <f t="shared" si="130"/>
        <v>8.1519389618573523E-2</v>
      </c>
      <c r="AL148" s="226">
        <f t="shared" si="130"/>
        <v>7.9330430240210414E-2</v>
      </c>
      <c r="AM148" s="226">
        <f t="shared" si="130"/>
        <v>7.7172375333795756E-2</v>
      </c>
      <c r="AN148" s="226">
        <f t="shared" si="130"/>
        <v>7.5044142086142795E-2</v>
      </c>
      <c r="AO148" s="226">
        <f t="shared" si="130"/>
        <v>7.2944669278841301E-2</v>
      </c>
      <c r="AP148" s="226">
        <f t="shared" si="130"/>
        <v>7.0872916691088E-2</v>
      </c>
      <c r="AQ148" s="226">
        <f t="shared" si="130"/>
        <v>6.8827864516050649E-2</v>
      </c>
      <c r="AR148" s="226">
        <f t="shared" si="130"/>
        <v>6.6808512790421007E-2</v>
      </c>
      <c r="AS148" s="226">
        <f t="shared" si="130"/>
        <v>6.4813880836819326E-2</v>
      </c>
      <c r="AT148" s="226">
        <f t="shared" si="130"/>
        <v>6.2843006718721728E-2</v>
      </c>
      <c r="AU148" s="226">
        <f t="shared" si="130"/>
        <v>6.0894946707589027E-2</v>
      </c>
      <c r="AV148" s="226">
        <f t="shared" si="130"/>
        <v>5.896877476188344E-2</v>
      </c>
      <c r="AW148" s="226">
        <f t="shared" si="130"/>
        <v>6.2271406312697647E-2</v>
      </c>
      <c r="AX148" s="226">
        <f t="shared" si="130"/>
        <v>6.208836998925521E-2</v>
      </c>
      <c r="AY148" s="226">
        <f t="shared" si="130"/>
        <v>6.190979796638453E-2</v>
      </c>
      <c r="AZ148" s="226">
        <f t="shared" si="130"/>
        <v>6.1735581358705827E-2</v>
      </c>
      <c r="BA148" s="226">
        <f t="shared" si="130"/>
        <v>6.1565613936580256E-2</v>
      </c>
      <c r="BB148" s="226">
        <f t="shared" si="130"/>
        <v>6.1399792061335799E-2</v>
      </c>
      <c r="BC148" s="226">
        <f t="shared" si="130"/>
        <v>6.1238014622072907E-2</v>
      </c>
      <c r="BD148" s="226">
        <f t="shared" si="130"/>
        <v>6.1080182974011563E-2</v>
      </c>
      <c r="BE148" s="226">
        <f t="shared" si="130"/>
        <v>6.0926200878341955E-2</v>
      </c>
      <c r="BF148" s="226">
        <f t="shared" si="130"/>
        <v>6.0775974443542324E-2</v>
      </c>
      <c r="BG148" s="226">
        <f t="shared" si="130"/>
        <v>6.0629412068128066E-2</v>
      </c>
      <c r="BH148" s="226">
        <f t="shared" si="130"/>
        <v>6.0486424384797073E-2</v>
      </c>
      <c r="BI148" s="226">
        <f t="shared" si="130"/>
        <v>6.0346924205937569E-2</v>
      </c>
      <c r="BJ148" s="226">
        <f t="shared" si="130"/>
        <v>6.0210826470464884E-2</v>
      </c>
      <c r="BK148" s="226">
        <f t="shared" si="130"/>
        <v>6.0078048191954947E-2</v>
      </c>
      <c r="BL148" s="226">
        <f t="shared" si="130"/>
        <v>5.9948508408042819E-2</v>
      </c>
      <c r="BM148" s="226">
        <f t="shared" si="130"/>
        <v>5.982212813105537E-2</v>
      </c>
      <c r="BN148" s="226">
        <f t="shared" si="130"/>
        <v>5.9698830299848106E-2</v>
      </c>
      <c r="BO148" s="226">
        <f t="shared" si="130"/>
        <v>5.9578539732816627E-2</v>
      </c>
    </row>
    <row r="149" spans="1:68" ht="12.75" customHeight="1" x14ac:dyDescent="0.2">
      <c r="F149" s="32"/>
    </row>
    <row r="150" spans="1:68" ht="12.75" customHeight="1" x14ac:dyDescent="0.2">
      <c r="B150" s="17" t="s">
        <v>37</v>
      </c>
      <c r="F150" s="32"/>
      <c r="P150" s="23" t="s">
        <v>41</v>
      </c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</row>
    <row r="151" spans="1:68" ht="12.75" customHeight="1" x14ac:dyDescent="0.2">
      <c r="A151" s="115"/>
      <c r="B151" s="16"/>
      <c r="C151" s="23" t="s">
        <v>28</v>
      </c>
      <c r="D151" s="27" t="s">
        <v>491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61">
        <f>R151*1000000/$R$145</f>
        <v>2.1699381351874125</v>
      </c>
      <c r="Q151" s="35"/>
      <c r="R151" s="69">
        <f>Q60</f>
        <v>5.7720356457426396</v>
      </c>
      <c r="S151" s="69">
        <f t="shared" ref="S151" si="131">R155</f>
        <v>5.6691196779760213</v>
      </c>
      <c r="T151" s="69">
        <f t="shared" ref="T151" si="132">S155</f>
        <v>5.5620870714987385</v>
      </c>
      <c r="U151" s="69">
        <f t="shared" ref="U151" si="133">T155</f>
        <v>5.4507731607623642</v>
      </c>
      <c r="V151" s="69">
        <f t="shared" ref="V151" si="134">U155</f>
        <v>5.3350066935965348</v>
      </c>
      <c r="W151" s="69">
        <f t="shared" ref="W151" si="135">V155</f>
        <v>5.2146095677440725</v>
      </c>
      <c r="X151" s="69">
        <f t="shared" ref="X151" si="136">W155</f>
        <v>5.0893965568575119</v>
      </c>
      <c r="Y151" s="69">
        <f t="shared" ref="Y151" si="137">X155</f>
        <v>4.9591750255354885</v>
      </c>
      <c r="Z151" s="69">
        <f t="shared" ref="Z151" si="138">Y155</f>
        <v>4.823744632960584</v>
      </c>
      <c r="AA151" s="69">
        <f t="shared" ref="AA151" si="139">Z155</f>
        <v>4.6828970246826831</v>
      </c>
      <c r="AB151" s="69">
        <f t="shared" ref="AB151" si="140">AA155</f>
        <v>4.5364155120736669</v>
      </c>
      <c r="AC151" s="69">
        <f t="shared" ref="AC151" si="141">AB155</f>
        <v>4.3840747389602894</v>
      </c>
      <c r="AD151" s="69">
        <f t="shared" ref="AD151" si="142">AC155</f>
        <v>4.2256403349223772</v>
      </c>
      <c r="AE151" s="69">
        <f t="shared" ref="AE151" si="143">AD155</f>
        <v>4.0608685547229486</v>
      </c>
      <c r="AF151" s="69">
        <f t="shared" ref="AF151" si="144">AE155</f>
        <v>3.8895059033155426</v>
      </c>
      <c r="AG151" s="69">
        <f t="shared" ref="AG151" si="145">AF155</f>
        <v>3.7112887458518404</v>
      </c>
      <c r="AH151" s="69">
        <f t="shared" ref="AH151" si="146">AG155</f>
        <v>3.5259429020895903</v>
      </c>
      <c r="AI151" s="69">
        <f t="shared" ref="AI151" si="147">AH155</f>
        <v>3.33318322457685</v>
      </c>
      <c r="AJ151" s="69">
        <f t="shared" ref="AJ151" si="148">AI155</f>
        <v>3.1327131599636</v>
      </c>
      <c r="AK151" s="69">
        <f t="shared" ref="AK151" si="149">AJ155</f>
        <v>2.9242242927658202</v>
      </c>
      <c r="AL151" s="69">
        <f t="shared" ref="AL151" si="150">AK155</f>
        <v>2.7073958708801293</v>
      </c>
      <c r="AM151" s="69">
        <f t="shared" ref="AM151" si="151">AL155</f>
        <v>2.4818943121190107</v>
      </c>
      <c r="AN151" s="69">
        <f t="shared" ref="AN151" si="152">AM155</f>
        <v>2.2473726910074472</v>
      </c>
      <c r="AO151" s="69">
        <f t="shared" ref="AO151" si="153">AN155</f>
        <v>2.0034702050514213</v>
      </c>
      <c r="AP151" s="69">
        <f t="shared" ref="AP151" si="154">AO155</f>
        <v>1.7498116196571543</v>
      </c>
      <c r="AQ151" s="69">
        <f t="shared" ref="AQ151" si="155">AP155</f>
        <v>1.4860066908471166</v>
      </c>
      <c r="AR151" s="69">
        <f t="shared" ref="AR151" si="156">AQ155</f>
        <v>1.2116495648846775</v>
      </c>
      <c r="AS151" s="69">
        <f t="shared" ref="AS151" si="157">AR155</f>
        <v>0.92631815388374072</v>
      </c>
      <c r="AT151" s="69">
        <f t="shared" ref="AT151" si="158">AS155</f>
        <v>0.62957348644276656</v>
      </c>
      <c r="AU151" s="69">
        <f t="shared" ref="AU151" si="159">AT155</f>
        <v>0.3209590323041534</v>
      </c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</row>
    <row r="152" spans="1:68" ht="12.75" customHeight="1" x14ac:dyDescent="0.2">
      <c r="A152" s="115"/>
      <c r="B152" s="16"/>
      <c r="C152" s="23" t="s">
        <v>38</v>
      </c>
      <c r="D152" s="27" t="s">
        <v>491</v>
      </c>
      <c r="F152" s="47"/>
      <c r="G152" s="35"/>
      <c r="H152" s="35"/>
      <c r="I152" s="35"/>
      <c r="J152" s="35"/>
      <c r="K152" s="35"/>
      <c r="L152" s="35"/>
      <c r="M152" s="35"/>
      <c r="N152" s="35"/>
      <c r="O152" s="35"/>
      <c r="P152" s="61">
        <f>R152*1000000/$R$145</f>
        <v>0.12548773747180031</v>
      </c>
      <c r="Q152" s="35"/>
      <c r="R152" s="70">
        <f>-PMT($E$12,$E$13,R151)</f>
        <v>0.33379739359632382</v>
      </c>
      <c r="S152" s="70">
        <f>R152</f>
        <v>0.33379739359632382</v>
      </c>
      <c r="T152" s="70">
        <f t="shared" ref="T152" si="160">S152</f>
        <v>0.33379739359632382</v>
      </c>
      <c r="U152" s="70">
        <f t="shared" ref="U152" si="161">T152</f>
        <v>0.33379739359632382</v>
      </c>
      <c r="V152" s="70">
        <f t="shared" ref="V152" si="162">U152</f>
        <v>0.33379739359632382</v>
      </c>
      <c r="W152" s="70">
        <f t="shared" ref="W152" si="163">V152</f>
        <v>0.33379739359632382</v>
      </c>
      <c r="X152" s="70">
        <f t="shared" ref="X152" si="164">W152</f>
        <v>0.33379739359632382</v>
      </c>
      <c r="Y152" s="70">
        <f t="shared" ref="Y152" si="165">X152</f>
        <v>0.33379739359632382</v>
      </c>
      <c r="Z152" s="70">
        <f t="shared" ref="Z152" si="166">Y152</f>
        <v>0.33379739359632382</v>
      </c>
      <c r="AA152" s="70">
        <f t="shared" ref="AA152" si="167">Z152</f>
        <v>0.33379739359632382</v>
      </c>
      <c r="AB152" s="70">
        <f t="shared" ref="AB152" si="168">AA152</f>
        <v>0.33379739359632382</v>
      </c>
      <c r="AC152" s="70">
        <f t="shared" ref="AC152" si="169">AB152</f>
        <v>0.33379739359632382</v>
      </c>
      <c r="AD152" s="70">
        <f t="shared" ref="AD152" si="170">AC152</f>
        <v>0.33379739359632382</v>
      </c>
      <c r="AE152" s="70">
        <f t="shared" ref="AE152" si="171">AD152</f>
        <v>0.33379739359632382</v>
      </c>
      <c r="AF152" s="70">
        <f t="shared" ref="AF152" si="172">AE152</f>
        <v>0.33379739359632382</v>
      </c>
      <c r="AG152" s="70">
        <f t="shared" ref="AG152" si="173">AF152</f>
        <v>0.33379739359632382</v>
      </c>
      <c r="AH152" s="70">
        <f t="shared" ref="AH152" si="174">AG152</f>
        <v>0.33379739359632382</v>
      </c>
      <c r="AI152" s="70">
        <f t="shared" ref="AI152" si="175">AH152</f>
        <v>0.33379739359632382</v>
      </c>
      <c r="AJ152" s="70">
        <f t="shared" ref="AJ152" si="176">AI152</f>
        <v>0.33379739359632382</v>
      </c>
      <c r="AK152" s="70">
        <f t="shared" ref="AK152" si="177">AJ152</f>
        <v>0.33379739359632382</v>
      </c>
      <c r="AL152" s="70">
        <f t="shared" ref="AL152" si="178">AK152</f>
        <v>0.33379739359632382</v>
      </c>
      <c r="AM152" s="70">
        <f t="shared" ref="AM152" si="179">AL152</f>
        <v>0.33379739359632382</v>
      </c>
      <c r="AN152" s="70">
        <f t="shared" ref="AN152" si="180">AM152</f>
        <v>0.33379739359632382</v>
      </c>
      <c r="AO152" s="70">
        <f t="shared" ref="AO152" si="181">AN152</f>
        <v>0.33379739359632382</v>
      </c>
      <c r="AP152" s="70">
        <f t="shared" ref="AP152" si="182">AO152</f>
        <v>0.33379739359632382</v>
      </c>
      <c r="AQ152" s="70">
        <f t="shared" ref="AQ152" si="183">AP152</f>
        <v>0.33379739359632382</v>
      </c>
      <c r="AR152" s="70">
        <f t="shared" ref="AR152" si="184">AQ152</f>
        <v>0.33379739359632382</v>
      </c>
      <c r="AS152" s="70">
        <f t="shared" ref="AS152" si="185">AR152</f>
        <v>0.33379739359632382</v>
      </c>
      <c r="AT152" s="70">
        <f t="shared" ref="AT152" si="186">AS152</f>
        <v>0.33379739359632382</v>
      </c>
      <c r="AU152" s="70">
        <f t="shared" ref="AU152" si="187">AT152</f>
        <v>0.33379739359632382</v>
      </c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</row>
    <row r="153" spans="1:68" ht="12.75" customHeight="1" x14ac:dyDescent="0.2">
      <c r="A153" s="115"/>
      <c r="B153" s="16"/>
      <c r="C153" s="38" t="s">
        <v>15</v>
      </c>
      <c r="D153" s="27" t="s">
        <v>491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61"/>
      <c r="Q153" s="35"/>
      <c r="R153" s="69">
        <f t="shared" ref="R153:AU153" si="188">R151*$E$12</f>
        <v>0.23088142582970558</v>
      </c>
      <c r="S153" s="69">
        <f t="shared" si="188"/>
        <v>0.22676478711904086</v>
      </c>
      <c r="T153" s="69">
        <f t="shared" si="188"/>
        <v>0.22248348285994954</v>
      </c>
      <c r="U153" s="69">
        <f t="shared" si="188"/>
        <v>0.21803092643049457</v>
      </c>
      <c r="V153" s="69">
        <f t="shared" si="188"/>
        <v>0.21340026774386139</v>
      </c>
      <c r="W153" s="69">
        <f t="shared" si="188"/>
        <v>0.2085843827097629</v>
      </c>
      <c r="X153" s="69">
        <f t="shared" si="188"/>
        <v>0.20357586227430047</v>
      </c>
      <c r="Y153" s="69">
        <f t="shared" si="188"/>
        <v>0.19836700102141955</v>
      </c>
      <c r="Z153" s="69">
        <f t="shared" si="188"/>
        <v>0.19294978531842336</v>
      </c>
      <c r="AA153" s="69">
        <f t="shared" si="188"/>
        <v>0.18731588098730734</v>
      </c>
      <c r="AB153" s="69">
        <f t="shared" si="188"/>
        <v>0.18145662048294667</v>
      </c>
      <c r="AC153" s="69">
        <f t="shared" si="188"/>
        <v>0.17536298955841159</v>
      </c>
      <c r="AD153" s="69">
        <f t="shared" si="188"/>
        <v>0.16902561339689509</v>
      </c>
      <c r="AE153" s="69">
        <f t="shared" si="188"/>
        <v>0.16243474218891796</v>
      </c>
      <c r="AF153" s="69">
        <f t="shared" si="188"/>
        <v>0.1555802361326217</v>
      </c>
      <c r="AG153" s="69">
        <f t="shared" si="188"/>
        <v>0.14845154983407363</v>
      </c>
      <c r="AH153" s="69">
        <f t="shared" si="188"/>
        <v>0.14103771608358362</v>
      </c>
      <c r="AI153" s="69">
        <f t="shared" si="188"/>
        <v>0.13332732898307401</v>
      </c>
      <c r="AJ153" s="69">
        <f t="shared" si="188"/>
        <v>0.12530852639854401</v>
      </c>
      <c r="AK153" s="69">
        <f t="shared" si="188"/>
        <v>0.11696897171063281</v>
      </c>
      <c r="AL153" s="69">
        <f t="shared" si="188"/>
        <v>0.10829583483520518</v>
      </c>
      <c r="AM153" s="69">
        <f t="shared" si="188"/>
        <v>9.9275772484760424E-2</v>
      </c>
      <c r="AN153" s="69">
        <f t="shared" si="188"/>
        <v>8.9894907640297894E-2</v>
      </c>
      <c r="AO153" s="69">
        <f t="shared" si="188"/>
        <v>8.0138808202056849E-2</v>
      </c>
      <c r="AP153" s="69">
        <f t="shared" si="188"/>
        <v>6.9992464786286165E-2</v>
      </c>
      <c r="AQ153" s="69">
        <f t="shared" si="188"/>
        <v>5.9440267633884665E-2</v>
      </c>
      <c r="AR153" s="69">
        <f t="shared" si="188"/>
        <v>4.8465982595387098E-2</v>
      </c>
      <c r="AS153" s="69">
        <f t="shared" si="188"/>
        <v>3.705272615534963E-2</v>
      </c>
      <c r="AT153" s="69">
        <f t="shared" si="188"/>
        <v>2.5182939457710662E-2</v>
      </c>
      <c r="AU153" s="69">
        <f t="shared" si="188"/>
        <v>1.2838361292166136E-2</v>
      </c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</row>
    <row r="154" spans="1:68" ht="12.75" customHeight="1" x14ac:dyDescent="0.2">
      <c r="A154" s="115"/>
      <c r="C154" s="38" t="s">
        <v>228</v>
      </c>
      <c r="D154" s="27" t="s">
        <v>491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69">
        <f t="shared" ref="R154:AU154" si="189">R152-R153</f>
        <v>0.10291596776661824</v>
      </c>
      <c r="S154" s="69">
        <f t="shared" si="189"/>
        <v>0.10703260647728297</v>
      </c>
      <c r="T154" s="69">
        <f t="shared" si="189"/>
        <v>0.11131391073637428</v>
      </c>
      <c r="U154" s="69">
        <f t="shared" si="189"/>
        <v>0.11576646716582925</v>
      </c>
      <c r="V154" s="69">
        <f t="shared" si="189"/>
        <v>0.12039712585246243</v>
      </c>
      <c r="W154" s="69">
        <f t="shared" si="189"/>
        <v>0.12521301088656092</v>
      </c>
      <c r="X154" s="69">
        <f t="shared" si="189"/>
        <v>0.13022153132202335</v>
      </c>
      <c r="Y154" s="69">
        <f t="shared" si="189"/>
        <v>0.13543039257490427</v>
      </c>
      <c r="Z154" s="69">
        <f t="shared" si="189"/>
        <v>0.14084760827790047</v>
      </c>
      <c r="AA154" s="69">
        <f t="shared" si="189"/>
        <v>0.14648151260901648</v>
      </c>
      <c r="AB154" s="69">
        <f t="shared" si="189"/>
        <v>0.15234077311337715</v>
      </c>
      <c r="AC154" s="69">
        <f t="shared" si="189"/>
        <v>0.15843440403791223</v>
      </c>
      <c r="AD154" s="69">
        <f t="shared" si="189"/>
        <v>0.16477178019942873</v>
      </c>
      <c r="AE154" s="69">
        <f t="shared" si="189"/>
        <v>0.17136265140740586</v>
      </c>
      <c r="AF154" s="69">
        <f t="shared" si="189"/>
        <v>0.17821715746370212</v>
      </c>
      <c r="AG154" s="69">
        <f t="shared" si="189"/>
        <v>0.18534584376225019</v>
      </c>
      <c r="AH154" s="69">
        <f t="shared" si="189"/>
        <v>0.1927596775127402</v>
      </c>
      <c r="AI154" s="69">
        <f t="shared" si="189"/>
        <v>0.20047006461324982</v>
      </c>
      <c r="AJ154" s="69">
        <f t="shared" si="189"/>
        <v>0.20848886719777981</v>
      </c>
      <c r="AK154" s="69">
        <f t="shared" si="189"/>
        <v>0.21682842188569101</v>
      </c>
      <c r="AL154" s="69">
        <f t="shared" si="189"/>
        <v>0.22550155876111866</v>
      </c>
      <c r="AM154" s="69">
        <f t="shared" si="189"/>
        <v>0.23452162111156338</v>
      </c>
      <c r="AN154" s="69">
        <f t="shared" si="189"/>
        <v>0.24390248595602593</v>
      </c>
      <c r="AO154" s="69">
        <f t="shared" si="189"/>
        <v>0.253658585394267</v>
      </c>
      <c r="AP154" s="69">
        <f t="shared" si="189"/>
        <v>0.26380492881003764</v>
      </c>
      <c r="AQ154" s="69">
        <f t="shared" si="189"/>
        <v>0.27435712596243916</v>
      </c>
      <c r="AR154" s="69">
        <f t="shared" si="189"/>
        <v>0.28533141100093673</v>
      </c>
      <c r="AS154" s="69">
        <f t="shared" si="189"/>
        <v>0.29674466744097416</v>
      </c>
      <c r="AT154" s="69">
        <f t="shared" si="189"/>
        <v>0.30861445413861316</v>
      </c>
      <c r="AU154" s="69">
        <f t="shared" si="189"/>
        <v>0.32095903230415768</v>
      </c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</row>
    <row r="155" spans="1:68" ht="12.75" customHeight="1" x14ac:dyDescent="0.2">
      <c r="A155" s="115"/>
      <c r="C155" s="23" t="s">
        <v>29</v>
      </c>
      <c r="D155" s="27" t="s">
        <v>491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69">
        <f t="shared" ref="R155:AU155" si="190">R151-R154</f>
        <v>5.6691196779760213</v>
      </c>
      <c r="S155" s="69">
        <f t="shared" si="190"/>
        <v>5.5620870714987385</v>
      </c>
      <c r="T155" s="69">
        <f t="shared" si="190"/>
        <v>5.4507731607623642</v>
      </c>
      <c r="U155" s="69">
        <f t="shared" si="190"/>
        <v>5.3350066935965348</v>
      </c>
      <c r="V155" s="69">
        <f t="shared" si="190"/>
        <v>5.2146095677440725</v>
      </c>
      <c r="W155" s="69">
        <f t="shared" si="190"/>
        <v>5.0893965568575119</v>
      </c>
      <c r="X155" s="69">
        <f t="shared" si="190"/>
        <v>4.9591750255354885</v>
      </c>
      <c r="Y155" s="69">
        <f t="shared" si="190"/>
        <v>4.823744632960584</v>
      </c>
      <c r="Z155" s="69">
        <f t="shared" si="190"/>
        <v>4.6828970246826831</v>
      </c>
      <c r="AA155" s="69">
        <f t="shared" si="190"/>
        <v>4.5364155120736669</v>
      </c>
      <c r="AB155" s="69">
        <f t="shared" si="190"/>
        <v>4.3840747389602894</v>
      </c>
      <c r="AC155" s="69">
        <f t="shared" si="190"/>
        <v>4.2256403349223772</v>
      </c>
      <c r="AD155" s="69">
        <f t="shared" si="190"/>
        <v>4.0608685547229486</v>
      </c>
      <c r="AE155" s="69">
        <f t="shared" si="190"/>
        <v>3.8895059033155426</v>
      </c>
      <c r="AF155" s="69">
        <f t="shared" si="190"/>
        <v>3.7112887458518404</v>
      </c>
      <c r="AG155" s="69">
        <f t="shared" si="190"/>
        <v>3.5259429020895903</v>
      </c>
      <c r="AH155" s="69">
        <f t="shared" si="190"/>
        <v>3.33318322457685</v>
      </c>
      <c r="AI155" s="69">
        <f t="shared" si="190"/>
        <v>3.1327131599636</v>
      </c>
      <c r="AJ155" s="69">
        <f t="shared" si="190"/>
        <v>2.9242242927658202</v>
      </c>
      <c r="AK155" s="69">
        <f t="shared" si="190"/>
        <v>2.7073958708801293</v>
      </c>
      <c r="AL155" s="69">
        <f t="shared" si="190"/>
        <v>2.4818943121190107</v>
      </c>
      <c r="AM155" s="69">
        <f t="shared" si="190"/>
        <v>2.2473726910074472</v>
      </c>
      <c r="AN155" s="69">
        <f t="shared" si="190"/>
        <v>2.0034702050514213</v>
      </c>
      <c r="AO155" s="69">
        <f t="shared" si="190"/>
        <v>1.7498116196571543</v>
      </c>
      <c r="AP155" s="69">
        <f t="shared" si="190"/>
        <v>1.4860066908471166</v>
      </c>
      <c r="AQ155" s="69">
        <f t="shared" si="190"/>
        <v>1.2116495648846775</v>
      </c>
      <c r="AR155" s="69">
        <f t="shared" si="190"/>
        <v>0.92631815388374072</v>
      </c>
      <c r="AS155" s="69">
        <f t="shared" si="190"/>
        <v>0.62957348644276656</v>
      </c>
      <c r="AT155" s="69">
        <f t="shared" si="190"/>
        <v>0.3209590323041534</v>
      </c>
      <c r="AU155" s="69">
        <f t="shared" si="190"/>
        <v>-4.2743586448068527E-15</v>
      </c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</row>
    <row r="156" spans="1:68" ht="12.75" customHeight="1" x14ac:dyDescent="0.2">
      <c r="A156" s="11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</row>
    <row r="157" spans="1:68" ht="12.75" customHeight="1" x14ac:dyDescent="0.2">
      <c r="B157" s="28" t="s">
        <v>233</v>
      </c>
      <c r="C157" s="27"/>
      <c r="D157" s="27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</row>
    <row r="158" spans="1:68" ht="12.75" customHeight="1" x14ac:dyDescent="0.2">
      <c r="C158" s="27" t="s">
        <v>234</v>
      </c>
      <c r="D158" s="27" t="s">
        <v>491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27">
        <f>0</f>
        <v>0</v>
      </c>
      <c r="S158" s="58">
        <f>R160</f>
        <v>0</v>
      </c>
      <c r="T158" s="58">
        <f t="shared" ref="T158:AU158" si="191">S160</f>
        <v>0</v>
      </c>
      <c r="U158" s="58">
        <f t="shared" si="191"/>
        <v>0</v>
      </c>
      <c r="V158" s="58">
        <f t="shared" si="191"/>
        <v>0</v>
      </c>
      <c r="W158" s="58">
        <f t="shared" si="191"/>
        <v>0</v>
      </c>
      <c r="X158" s="58">
        <f t="shared" si="191"/>
        <v>0</v>
      </c>
      <c r="Y158" s="58">
        <f t="shared" si="191"/>
        <v>0</v>
      </c>
      <c r="Z158" s="58">
        <f t="shared" si="191"/>
        <v>0</v>
      </c>
      <c r="AA158" s="58">
        <f t="shared" si="191"/>
        <v>0</v>
      </c>
      <c r="AB158" s="58">
        <f t="shared" si="191"/>
        <v>0</v>
      </c>
      <c r="AC158" s="58">
        <f t="shared" si="191"/>
        <v>0</v>
      </c>
      <c r="AD158" s="58">
        <f t="shared" si="191"/>
        <v>0</v>
      </c>
      <c r="AE158" s="58">
        <f t="shared" si="191"/>
        <v>0</v>
      </c>
      <c r="AF158" s="58">
        <f t="shared" si="191"/>
        <v>0</v>
      </c>
      <c r="AG158" s="58">
        <f t="shared" si="191"/>
        <v>0</v>
      </c>
      <c r="AH158" s="58">
        <f t="shared" si="191"/>
        <v>0</v>
      </c>
      <c r="AI158" s="58">
        <f t="shared" si="191"/>
        <v>0</v>
      </c>
      <c r="AJ158" s="58">
        <f t="shared" si="191"/>
        <v>0</v>
      </c>
      <c r="AK158" s="58">
        <f t="shared" si="191"/>
        <v>0</v>
      </c>
      <c r="AL158" s="58">
        <f t="shared" si="191"/>
        <v>0</v>
      </c>
      <c r="AM158" s="58">
        <f t="shared" si="191"/>
        <v>0</v>
      </c>
      <c r="AN158" s="58">
        <f t="shared" si="191"/>
        <v>0</v>
      </c>
      <c r="AO158" s="58">
        <f t="shared" si="191"/>
        <v>0</v>
      </c>
      <c r="AP158" s="58">
        <f t="shared" si="191"/>
        <v>0</v>
      </c>
      <c r="AQ158" s="58">
        <f t="shared" si="191"/>
        <v>0</v>
      </c>
      <c r="AR158" s="58">
        <f t="shared" si="191"/>
        <v>0</v>
      </c>
      <c r="AS158" s="58">
        <f t="shared" si="191"/>
        <v>0</v>
      </c>
      <c r="AT158" s="58">
        <f t="shared" si="191"/>
        <v>0</v>
      </c>
      <c r="AU158" s="58">
        <f t="shared" si="191"/>
        <v>0</v>
      </c>
      <c r="AV158" s="58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</row>
    <row r="159" spans="1:68" ht="12.75" customHeight="1" x14ac:dyDescent="0.2">
      <c r="C159" s="27" t="s">
        <v>235</v>
      </c>
      <c r="D159" s="27" t="s">
        <v>491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58">
        <f>0</f>
        <v>0</v>
      </c>
      <c r="S159" s="58">
        <f>0</f>
        <v>0</v>
      </c>
      <c r="T159" s="58">
        <f>0</f>
        <v>0</v>
      </c>
      <c r="U159" s="58">
        <f>0</f>
        <v>0</v>
      </c>
      <c r="V159" s="58">
        <f>0</f>
        <v>0</v>
      </c>
      <c r="W159" s="58">
        <f>0</f>
        <v>0</v>
      </c>
      <c r="X159" s="58">
        <f>0</f>
        <v>0</v>
      </c>
      <c r="Y159" s="58">
        <f>0</f>
        <v>0</v>
      </c>
      <c r="Z159" s="58">
        <f>0</f>
        <v>0</v>
      </c>
      <c r="AA159" s="58">
        <f>0</f>
        <v>0</v>
      </c>
      <c r="AB159" s="58">
        <f>0</f>
        <v>0</v>
      </c>
      <c r="AC159" s="58">
        <f>0</f>
        <v>0</v>
      </c>
      <c r="AD159" s="58">
        <f>0</f>
        <v>0</v>
      </c>
      <c r="AE159" s="58">
        <f>0</f>
        <v>0</v>
      </c>
      <c r="AF159" s="58">
        <f>0</f>
        <v>0</v>
      </c>
      <c r="AG159" s="58">
        <f>0</f>
        <v>0</v>
      </c>
      <c r="AH159" s="58">
        <f>0</f>
        <v>0</v>
      </c>
      <c r="AI159" s="58">
        <f>0</f>
        <v>0</v>
      </c>
      <c r="AJ159" s="58">
        <f>0</f>
        <v>0</v>
      </c>
      <c r="AK159" s="58">
        <f>0</f>
        <v>0</v>
      </c>
      <c r="AL159" s="58">
        <f>0</f>
        <v>0</v>
      </c>
      <c r="AM159" s="58">
        <f>0</f>
        <v>0</v>
      </c>
      <c r="AN159" s="58">
        <f>0</f>
        <v>0</v>
      </c>
      <c r="AO159" s="58">
        <f>0</f>
        <v>0</v>
      </c>
      <c r="AP159" s="58">
        <f>0</f>
        <v>0</v>
      </c>
      <c r="AQ159" s="58">
        <f>0</f>
        <v>0</v>
      </c>
      <c r="AR159" s="58">
        <f>0</f>
        <v>0</v>
      </c>
      <c r="AS159" s="58">
        <f>0</f>
        <v>0</v>
      </c>
      <c r="AT159" s="58">
        <f>0</f>
        <v>0</v>
      </c>
      <c r="AU159" s="129">
        <f>AU158</f>
        <v>0</v>
      </c>
      <c r="AV159" s="58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</row>
    <row r="160" spans="1:68" ht="12.75" customHeight="1" x14ac:dyDescent="0.2">
      <c r="C160" s="27" t="s">
        <v>236</v>
      </c>
      <c r="D160" s="27" t="s">
        <v>491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58">
        <f t="shared" ref="R160:AU160" si="192">R158-R159</f>
        <v>0</v>
      </c>
      <c r="S160" s="58">
        <f t="shared" si="192"/>
        <v>0</v>
      </c>
      <c r="T160" s="58">
        <f t="shared" si="192"/>
        <v>0</v>
      </c>
      <c r="U160" s="58">
        <f t="shared" si="192"/>
        <v>0</v>
      </c>
      <c r="V160" s="58">
        <f t="shared" si="192"/>
        <v>0</v>
      </c>
      <c r="W160" s="58">
        <f t="shared" si="192"/>
        <v>0</v>
      </c>
      <c r="X160" s="58">
        <f t="shared" si="192"/>
        <v>0</v>
      </c>
      <c r="Y160" s="58">
        <f t="shared" si="192"/>
        <v>0</v>
      </c>
      <c r="Z160" s="58">
        <f t="shared" si="192"/>
        <v>0</v>
      </c>
      <c r="AA160" s="58">
        <f t="shared" si="192"/>
        <v>0</v>
      </c>
      <c r="AB160" s="58">
        <f t="shared" si="192"/>
        <v>0</v>
      </c>
      <c r="AC160" s="58">
        <f t="shared" si="192"/>
        <v>0</v>
      </c>
      <c r="AD160" s="58">
        <f t="shared" si="192"/>
        <v>0</v>
      </c>
      <c r="AE160" s="58">
        <f t="shared" si="192"/>
        <v>0</v>
      </c>
      <c r="AF160" s="58">
        <f t="shared" si="192"/>
        <v>0</v>
      </c>
      <c r="AG160" s="58">
        <f t="shared" si="192"/>
        <v>0</v>
      </c>
      <c r="AH160" s="58">
        <f t="shared" si="192"/>
        <v>0</v>
      </c>
      <c r="AI160" s="58">
        <f t="shared" si="192"/>
        <v>0</v>
      </c>
      <c r="AJ160" s="58">
        <f t="shared" si="192"/>
        <v>0</v>
      </c>
      <c r="AK160" s="58">
        <f t="shared" si="192"/>
        <v>0</v>
      </c>
      <c r="AL160" s="58">
        <f t="shared" si="192"/>
        <v>0</v>
      </c>
      <c r="AM160" s="58">
        <f t="shared" si="192"/>
        <v>0</v>
      </c>
      <c r="AN160" s="58">
        <f t="shared" si="192"/>
        <v>0</v>
      </c>
      <c r="AO160" s="58">
        <f t="shared" si="192"/>
        <v>0</v>
      </c>
      <c r="AP160" s="58">
        <f t="shared" si="192"/>
        <v>0</v>
      </c>
      <c r="AQ160" s="58">
        <f t="shared" si="192"/>
        <v>0</v>
      </c>
      <c r="AR160" s="58">
        <f t="shared" si="192"/>
        <v>0</v>
      </c>
      <c r="AS160" s="58">
        <f t="shared" si="192"/>
        <v>0</v>
      </c>
      <c r="AT160" s="58">
        <f t="shared" si="192"/>
        <v>0</v>
      </c>
      <c r="AU160" s="58">
        <f t="shared" si="192"/>
        <v>0</v>
      </c>
      <c r="AV160" s="58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</row>
    <row r="161" spans="1:67" ht="12.75" customHeight="1" x14ac:dyDescent="0.2">
      <c r="C161" s="27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58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</row>
    <row r="162" spans="1:67" ht="12.75" customHeight="1" x14ac:dyDescent="0.2">
      <c r="B162" s="28" t="s">
        <v>247</v>
      </c>
      <c r="C162" s="27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58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</row>
    <row r="163" spans="1:67" ht="12.75" customHeight="1" x14ac:dyDescent="0.2">
      <c r="C163" s="27" t="s">
        <v>248</v>
      </c>
      <c r="D163" s="27" t="s">
        <v>491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129">
        <f>0</f>
        <v>0</v>
      </c>
      <c r="S163" s="122">
        <f>R170</f>
        <v>4.6176285165941106E-2</v>
      </c>
      <c r="T163" s="122">
        <f t="shared" ref="T163:AX163" si="193">S170</f>
        <v>9.2452768293068088E-2</v>
      </c>
      <c r="U163" s="122">
        <f t="shared" si="193"/>
        <v>0.13879852023091935</v>
      </c>
      <c r="V163" s="122">
        <f t="shared" si="193"/>
        <v>0.18518067592163664</v>
      </c>
      <c r="W163" s="122">
        <f t="shared" si="193"/>
        <v>0.23156434298884165</v>
      </c>
      <c r="X163" s="122">
        <f t="shared" si="193"/>
        <v>0.27791250639057108</v>
      </c>
      <c r="Y163" s="122">
        <f t="shared" si="193"/>
        <v>0.32418592897324255</v>
      </c>
      <c r="Z163" s="122">
        <f t="shared" si="193"/>
        <v>0.37034304775699128</v>
      </c>
      <c r="AA163" s="122">
        <f t="shared" si="193"/>
        <v>0.38589957063684671</v>
      </c>
      <c r="AB163" s="122">
        <f t="shared" si="193"/>
        <v>0.37463176197461467</v>
      </c>
      <c r="AC163" s="122">
        <f t="shared" si="193"/>
        <v>0.36291324096589334</v>
      </c>
      <c r="AD163" s="122">
        <f t="shared" si="193"/>
        <v>0.35072597911682318</v>
      </c>
      <c r="AE163" s="122">
        <f t="shared" si="193"/>
        <v>0.33805122679379018</v>
      </c>
      <c r="AF163" s="122">
        <f t="shared" si="193"/>
        <v>0.32486948437783592</v>
      </c>
      <c r="AG163" s="122">
        <f t="shared" si="193"/>
        <v>0.3111604722652434</v>
      </c>
      <c r="AH163" s="122">
        <f t="shared" si="193"/>
        <v>0.29690309966814726</v>
      </c>
      <c r="AI163" s="122">
        <f t="shared" si="193"/>
        <v>0.28207543216716724</v>
      </c>
      <c r="AJ163" s="122">
        <f t="shared" si="193"/>
        <v>0.26665465796614801</v>
      </c>
      <c r="AK163" s="122">
        <f t="shared" si="193"/>
        <v>0.25061705279708801</v>
      </c>
      <c r="AL163" s="122">
        <f t="shared" si="193"/>
        <v>0.23393794342126562</v>
      </c>
      <c r="AM163" s="122">
        <f t="shared" si="193"/>
        <v>0.21659166967041035</v>
      </c>
      <c r="AN163" s="122">
        <f t="shared" si="193"/>
        <v>0.19855154496952085</v>
      </c>
      <c r="AO163" s="122">
        <f t="shared" si="193"/>
        <v>0.17978981528059579</v>
      </c>
      <c r="AP163" s="122">
        <f t="shared" si="193"/>
        <v>0.1602776164041137</v>
      </c>
      <c r="AQ163" s="122">
        <f t="shared" si="193"/>
        <v>0.13998492957257233</v>
      </c>
      <c r="AR163" s="122">
        <f t="shared" si="193"/>
        <v>0.11888053526776933</v>
      </c>
      <c r="AS163" s="122">
        <f t="shared" si="193"/>
        <v>9.6931965190774197E-2</v>
      </c>
      <c r="AT163" s="122">
        <f t="shared" si="193"/>
        <v>7.410545231069926E-2</v>
      </c>
      <c r="AU163" s="122">
        <f t="shared" si="193"/>
        <v>5.0365878915421325E-2</v>
      </c>
      <c r="AV163" s="122">
        <f t="shared" si="193"/>
        <v>2.5676722584332273E-2</v>
      </c>
      <c r="AW163" s="122">
        <f t="shared" si="193"/>
        <v>0</v>
      </c>
      <c r="AX163" s="122">
        <f t="shared" si="193"/>
        <v>0</v>
      </c>
      <c r="AY163" s="122">
        <f t="shared" ref="AY163" si="194">AX170</f>
        <v>0</v>
      </c>
      <c r="AZ163" s="122">
        <f t="shared" ref="AZ163" si="195">AY170</f>
        <v>0</v>
      </c>
      <c r="BA163" s="122">
        <f t="shared" ref="BA163" si="196">AZ170</f>
        <v>0</v>
      </c>
      <c r="BB163" s="122">
        <f t="shared" ref="BB163" si="197">BA170</f>
        <v>0</v>
      </c>
      <c r="BC163" s="122">
        <f t="shared" ref="BC163" si="198">BB170</f>
        <v>0</v>
      </c>
      <c r="BD163" s="122">
        <f t="shared" ref="BD163" si="199">BC170</f>
        <v>0</v>
      </c>
      <c r="BE163" s="122">
        <f t="shared" ref="BE163" si="200">BD170</f>
        <v>0</v>
      </c>
      <c r="BF163" s="122">
        <f t="shared" ref="BF163" si="201">BE170</f>
        <v>0</v>
      </c>
      <c r="BG163" s="122">
        <f t="shared" ref="BG163" si="202">BF170</f>
        <v>0</v>
      </c>
      <c r="BH163" s="122">
        <f t="shared" ref="BH163" si="203">BG170</f>
        <v>0</v>
      </c>
      <c r="BI163" s="122">
        <f t="shared" ref="BI163" si="204">BH170</f>
        <v>0</v>
      </c>
      <c r="BJ163" s="122">
        <f t="shared" ref="BJ163" si="205">BI170</f>
        <v>0</v>
      </c>
      <c r="BK163" s="122">
        <f t="shared" ref="BK163" si="206">BJ170</f>
        <v>0</v>
      </c>
      <c r="BL163" s="122">
        <f t="shared" ref="BL163" si="207">BK170</f>
        <v>0</v>
      </c>
      <c r="BM163" s="122">
        <f t="shared" ref="BM163" si="208">BL170</f>
        <v>0</v>
      </c>
      <c r="BN163" s="122">
        <f t="shared" ref="BN163" si="209">BM170</f>
        <v>0</v>
      </c>
      <c r="BO163" s="122">
        <f t="shared" ref="BO163" si="210">BN170</f>
        <v>0</v>
      </c>
    </row>
    <row r="164" spans="1:67" ht="12.75" customHeight="1" x14ac:dyDescent="0.2">
      <c r="C164" s="27" t="s">
        <v>255</v>
      </c>
      <c r="D164" s="27" t="s">
        <v>491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131">
        <f>R163*$E$16</f>
        <v>0</v>
      </c>
      <c r="S164" s="131">
        <f t="shared" ref="S164:AX164" si="211">S163*$E$16</f>
        <v>9.2352570331882215E-4</v>
      </c>
      <c r="T164" s="131">
        <f t="shared" si="211"/>
        <v>1.8490553658613619E-3</v>
      </c>
      <c r="U164" s="131">
        <f t="shared" si="211"/>
        <v>2.775970404618387E-3</v>
      </c>
      <c r="V164" s="131">
        <f t="shared" si="211"/>
        <v>3.7036135184327331E-3</v>
      </c>
      <c r="W164" s="131">
        <f t="shared" si="211"/>
        <v>4.6312868597768331E-3</v>
      </c>
      <c r="X164" s="131">
        <f t="shared" si="211"/>
        <v>5.5582501278114219E-3</v>
      </c>
      <c r="Y164" s="131">
        <f t="shared" si="211"/>
        <v>6.4837185794648514E-3</v>
      </c>
      <c r="Z164" s="131">
        <f t="shared" si="211"/>
        <v>7.4068609551398261E-3</v>
      </c>
      <c r="AA164" s="131">
        <f t="shared" si="211"/>
        <v>7.7179914127369345E-3</v>
      </c>
      <c r="AB164" s="131">
        <f t="shared" si="211"/>
        <v>7.4926352394922933E-3</v>
      </c>
      <c r="AC164" s="131">
        <f t="shared" si="211"/>
        <v>7.2582648193178665E-3</v>
      </c>
      <c r="AD164" s="131">
        <f t="shared" si="211"/>
        <v>7.0145195823364641E-3</v>
      </c>
      <c r="AE164" s="131">
        <f t="shared" si="211"/>
        <v>6.7610245358758038E-3</v>
      </c>
      <c r="AF164" s="131">
        <f t="shared" si="211"/>
        <v>6.4973896875567183E-3</v>
      </c>
      <c r="AG164" s="131">
        <f t="shared" si="211"/>
        <v>6.223209445304868E-3</v>
      </c>
      <c r="AH164" s="131">
        <f t="shared" si="211"/>
        <v>5.9380619933629454E-3</v>
      </c>
      <c r="AI164" s="131">
        <f t="shared" si="211"/>
        <v>5.6415086433433447E-3</v>
      </c>
      <c r="AJ164" s="131">
        <f t="shared" si="211"/>
        <v>5.3330931593229608E-3</v>
      </c>
      <c r="AK164" s="131">
        <f t="shared" si="211"/>
        <v>5.0123410559417608E-3</v>
      </c>
      <c r="AL164" s="131">
        <f t="shared" si="211"/>
        <v>4.6787588684253124E-3</v>
      </c>
      <c r="AM164" s="131">
        <f t="shared" si="211"/>
        <v>4.3318333934082073E-3</v>
      </c>
      <c r="AN164" s="131">
        <f t="shared" si="211"/>
        <v>3.9710308993904167E-3</v>
      </c>
      <c r="AO164" s="131">
        <f t="shared" si="211"/>
        <v>3.595796305611916E-3</v>
      </c>
      <c r="AP164" s="131">
        <f t="shared" si="211"/>
        <v>3.205552328082274E-3</v>
      </c>
      <c r="AQ164" s="131">
        <f t="shared" si="211"/>
        <v>2.7996985914514466E-3</v>
      </c>
      <c r="AR164" s="131">
        <f t="shared" si="211"/>
        <v>2.3776107053553866E-3</v>
      </c>
      <c r="AS164" s="131">
        <f t="shared" si="211"/>
        <v>1.9386393038154841E-3</v>
      </c>
      <c r="AT164" s="131">
        <f t="shared" si="211"/>
        <v>1.4821090462139852E-3</v>
      </c>
      <c r="AU164" s="131">
        <f t="shared" si="211"/>
        <v>1.0073175783084265E-3</v>
      </c>
      <c r="AV164" s="131">
        <f t="shared" si="211"/>
        <v>5.135344516866455E-4</v>
      </c>
      <c r="AW164" s="131">
        <f t="shared" si="211"/>
        <v>0</v>
      </c>
      <c r="AX164" s="131">
        <f t="shared" si="211"/>
        <v>0</v>
      </c>
      <c r="AY164" s="131">
        <f t="shared" ref="AY164" si="212">AY163*$E$16</f>
        <v>0</v>
      </c>
      <c r="AZ164" s="131">
        <f t="shared" ref="AZ164" si="213">AZ163*$E$16</f>
        <v>0</v>
      </c>
      <c r="BA164" s="131">
        <f t="shared" ref="BA164" si="214">BA163*$E$16</f>
        <v>0</v>
      </c>
      <c r="BB164" s="131">
        <f t="shared" ref="BB164" si="215">BB163*$E$16</f>
        <v>0</v>
      </c>
      <c r="BC164" s="131">
        <f t="shared" ref="BC164" si="216">BC163*$E$16</f>
        <v>0</v>
      </c>
      <c r="BD164" s="131">
        <f t="shared" ref="BD164" si="217">BD163*$E$16</f>
        <v>0</v>
      </c>
      <c r="BE164" s="131">
        <f t="shared" ref="BE164" si="218">BE163*$E$16</f>
        <v>0</v>
      </c>
      <c r="BF164" s="131">
        <f t="shared" ref="BF164" si="219">BF163*$E$16</f>
        <v>0</v>
      </c>
      <c r="BG164" s="131">
        <f t="shared" ref="BG164" si="220">BG163*$E$16</f>
        <v>0</v>
      </c>
      <c r="BH164" s="131">
        <f t="shared" ref="BH164" si="221">BH163*$E$16</f>
        <v>0</v>
      </c>
      <c r="BI164" s="131">
        <f t="shared" ref="BI164" si="222">BI163*$E$16</f>
        <v>0</v>
      </c>
      <c r="BJ164" s="131">
        <f t="shared" ref="BJ164" si="223">BJ163*$E$16</f>
        <v>0</v>
      </c>
      <c r="BK164" s="131">
        <f t="shared" ref="BK164" si="224">BK163*$E$16</f>
        <v>0</v>
      </c>
      <c r="BL164" s="131">
        <f t="shared" ref="BL164" si="225">BL163*$E$16</f>
        <v>0</v>
      </c>
      <c r="BM164" s="131">
        <f t="shared" ref="BM164" si="226">BM163*$E$16</f>
        <v>0</v>
      </c>
      <c r="BN164" s="131">
        <f t="shared" ref="BN164" si="227">BN163*$E$16</f>
        <v>0</v>
      </c>
      <c r="BO164" s="131">
        <f t="shared" ref="BO164" si="228">BO163*$E$16</f>
        <v>0</v>
      </c>
    </row>
    <row r="165" spans="1:67" ht="12.75" customHeight="1" x14ac:dyDescent="0.2">
      <c r="C165" s="73" t="str">
        <f>"Additions of margin to meet TIER of "&amp;$E$23</f>
        <v>Additions of margin to meet TIER of 1.2</v>
      </c>
      <c r="D165" s="27" t="s">
        <v>491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67">
        <f t="shared" ref="R165:AX165" si="229">($E$23-1)*R134</f>
        <v>4.6176285165941106E-2</v>
      </c>
      <c r="S165" s="67">
        <f t="shared" si="229"/>
        <v>4.5352957423808161E-2</v>
      </c>
      <c r="T165" s="67">
        <f t="shared" si="229"/>
        <v>4.4496696571989895E-2</v>
      </c>
      <c r="U165" s="67">
        <f t="shared" si="229"/>
        <v>4.3606185286098907E-2</v>
      </c>
      <c r="V165" s="67">
        <f t="shared" si="229"/>
        <v>4.2680053548772266E-2</v>
      </c>
      <c r="W165" s="67">
        <f t="shared" si="229"/>
        <v>4.1716876541952573E-2</v>
      </c>
      <c r="X165" s="67">
        <f t="shared" si="229"/>
        <v>4.0715172454860081E-2</v>
      </c>
      <c r="Y165" s="67">
        <f t="shared" si="229"/>
        <v>3.96734002042839E-2</v>
      </c>
      <c r="Z165" s="67">
        <f t="shared" si="229"/>
        <v>3.8589957063684663E-2</v>
      </c>
      <c r="AA165" s="67">
        <f t="shared" si="229"/>
        <v>3.7463176197461458E-2</v>
      </c>
      <c r="AB165" s="67">
        <f t="shared" si="229"/>
        <v>3.6291324096589327E-2</v>
      </c>
      <c r="AC165" s="67">
        <f t="shared" si="229"/>
        <v>3.507259791168231E-2</v>
      </c>
      <c r="AD165" s="67">
        <f t="shared" si="229"/>
        <v>3.3805122679379011E-2</v>
      </c>
      <c r="AE165" s="67">
        <f t="shared" si="229"/>
        <v>3.2486948437783582E-2</v>
      </c>
      <c r="AF165" s="67">
        <f t="shared" si="229"/>
        <v>3.1116047226524335E-2</v>
      </c>
      <c r="AG165" s="67">
        <f t="shared" si="229"/>
        <v>2.969030996681472E-2</v>
      </c>
      <c r="AH165" s="67">
        <f t="shared" si="229"/>
        <v>2.8207543216716719E-2</v>
      </c>
      <c r="AI165" s="67">
        <f t="shared" si="229"/>
        <v>2.6665465796614794E-2</v>
      </c>
      <c r="AJ165" s="67">
        <f t="shared" si="229"/>
        <v>2.5061705279708794E-2</v>
      </c>
      <c r="AK165" s="67">
        <f t="shared" si="229"/>
        <v>2.3393794342126555E-2</v>
      </c>
      <c r="AL165" s="67">
        <f t="shared" si="229"/>
        <v>2.1659166967041031E-2</v>
      </c>
      <c r="AM165" s="67">
        <f t="shared" si="229"/>
        <v>1.985515449695208E-2</v>
      </c>
      <c r="AN165" s="67">
        <f t="shared" si="229"/>
        <v>1.7978981528059573E-2</v>
      </c>
      <c r="AO165" s="67">
        <f t="shared" si="229"/>
        <v>1.6027761640411368E-2</v>
      </c>
      <c r="AP165" s="67">
        <f t="shared" si="229"/>
        <v>1.399849295725723E-2</v>
      </c>
      <c r="AQ165" s="67">
        <f t="shared" si="229"/>
        <v>1.188805352677693E-2</v>
      </c>
      <c r="AR165" s="67">
        <f t="shared" si="229"/>
        <v>9.6931965190774176E-3</v>
      </c>
      <c r="AS165" s="67">
        <f t="shared" si="229"/>
        <v>7.4105452310699246E-3</v>
      </c>
      <c r="AT165" s="67">
        <f t="shared" si="229"/>
        <v>5.0365878915421313E-3</v>
      </c>
      <c r="AU165" s="67">
        <f t="shared" si="229"/>
        <v>2.5676722584332267E-3</v>
      </c>
      <c r="AV165" s="67">
        <f t="shared" si="229"/>
        <v>0</v>
      </c>
      <c r="AW165" s="67">
        <f t="shared" si="229"/>
        <v>0</v>
      </c>
      <c r="AX165" s="67">
        <f t="shared" si="229"/>
        <v>0</v>
      </c>
      <c r="AY165" s="67">
        <f t="shared" ref="AY165:BO165" si="230">($E$23-1)*AY134</f>
        <v>0</v>
      </c>
      <c r="AZ165" s="67">
        <f t="shared" si="230"/>
        <v>0</v>
      </c>
      <c r="BA165" s="67">
        <f t="shared" si="230"/>
        <v>0</v>
      </c>
      <c r="BB165" s="67">
        <f t="shared" si="230"/>
        <v>0</v>
      </c>
      <c r="BC165" s="67">
        <f t="shared" si="230"/>
        <v>0</v>
      </c>
      <c r="BD165" s="67">
        <f t="shared" si="230"/>
        <v>0</v>
      </c>
      <c r="BE165" s="67">
        <f t="shared" si="230"/>
        <v>0</v>
      </c>
      <c r="BF165" s="67">
        <f t="shared" si="230"/>
        <v>0</v>
      </c>
      <c r="BG165" s="67">
        <f t="shared" si="230"/>
        <v>0</v>
      </c>
      <c r="BH165" s="67">
        <f t="shared" si="230"/>
        <v>0</v>
      </c>
      <c r="BI165" s="67">
        <f t="shared" si="230"/>
        <v>0</v>
      </c>
      <c r="BJ165" s="67">
        <f t="shared" si="230"/>
        <v>0</v>
      </c>
      <c r="BK165" s="67">
        <f t="shared" si="230"/>
        <v>0</v>
      </c>
      <c r="BL165" s="67">
        <f t="shared" si="230"/>
        <v>0</v>
      </c>
      <c r="BM165" s="67">
        <f t="shared" si="230"/>
        <v>0</v>
      </c>
      <c r="BN165" s="67">
        <f t="shared" si="230"/>
        <v>0</v>
      </c>
      <c r="BO165" s="67">
        <f t="shared" si="230"/>
        <v>0</v>
      </c>
    </row>
    <row r="166" spans="1:67" ht="12.75" customHeight="1" x14ac:dyDescent="0.2">
      <c r="C166" s="27" t="s">
        <v>250</v>
      </c>
      <c r="D166" s="27" t="s">
        <v>491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58">
        <f>0</f>
        <v>0</v>
      </c>
      <c r="S166" s="58">
        <f>0</f>
        <v>0</v>
      </c>
      <c r="T166" s="58">
        <f>0</f>
        <v>0</v>
      </c>
      <c r="U166" s="58">
        <f>0</f>
        <v>0</v>
      </c>
      <c r="V166" s="58">
        <f>0</f>
        <v>0</v>
      </c>
      <c r="W166" s="58">
        <f>0</f>
        <v>0</v>
      </c>
      <c r="X166" s="58">
        <f>0</f>
        <v>0</v>
      </c>
      <c r="Y166" s="58">
        <f>0</f>
        <v>0</v>
      </c>
      <c r="Z166" s="58">
        <f>0</f>
        <v>0</v>
      </c>
      <c r="AA166" s="58">
        <f>0</f>
        <v>0</v>
      </c>
      <c r="AB166" s="58">
        <f>0</f>
        <v>0</v>
      </c>
      <c r="AC166" s="58">
        <f>0</f>
        <v>0</v>
      </c>
      <c r="AD166" s="58">
        <f>0</f>
        <v>0</v>
      </c>
      <c r="AE166" s="58">
        <f>0</f>
        <v>0</v>
      </c>
      <c r="AF166" s="58">
        <f>0</f>
        <v>0</v>
      </c>
      <c r="AG166" s="58">
        <f>0</f>
        <v>0</v>
      </c>
      <c r="AH166" s="58">
        <f>0</f>
        <v>0</v>
      </c>
      <c r="AI166" s="58">
        <f>0</f>
        <v>0</v>
      </c>
      <c r="AJ166" s="58">
        <f>0</f>
        <v>0</v>
      </c>
      <c r="AK166" s="58">
        <f>0</f>
        <v>0</v>
      </c>
      <c r="AL166" s="58">
        <f>0</f>
        <v>0</v>
      </c>
      <c r="AM166" s="58">
        <f>0</f>
        <v>0</v>
      </c>
      <c r="AN166" s="58">
        <f>0</f>
        <v>0</v>
      </c>
      <c r="AO166" s="58">
        <f>0</f>
        <v>0</v>
      </c>
      <c r="AP166" s="58">
        <f>0</f>
        <v>0</v>
      </c>
      <c r="AQ166" s="58">
        <f>0</f>
        <v>0</v>
      </c>
      <c r="AR166" s="58">
        <f>0</f>
        <v>0</v>
      </c>
      <c r="AS166" s="58">
        <f>0</f>
        <v>0</v>
      </c>
      <c r="AT166" s="58">
        <f>0</f>
        <v>0</v>
      </c>
      <c r="AU166" s="58">
        <f>0</f>
        <v>0</v>
      </c>
      <c r="AV166" s="58">
        <f>0</f>
        <v>0</v>
      </c>
      <c r="AW166" s="58">
        <f>0</f>
        <v>0</v>
      </c>
      <c r="AX166" s="58">
        <f>0</f>
        <v>0</v>
      </c>
      <c r="AY166" s="58">
        <f>0</f>
        <v>0</v>
      </c>
      <c r="AZ166" s="58">
        <f>0</f>
        <v>0</v>
      </c>
      <c r="BA166" s="58">
        <f>0</f>
        <v>0</v>
      </c>
      <c r="BB166" s="58">
        <f>0</f>
        <v>0</v>
      </c>
      <c r="BC166" s="58">
        <f>0</f>
        <v>0</v>
      </c>
      <c r="BD166" s="58">
        <f>0</f>
        <v>0</v>
      </c>
      <c r="BE166" s="58">
        <f>0</f>
        <v>0</v>
      </c>
      <c r="BF166" s="58">
        <f>0</f>
        <v>0</v>
      </c>
      <c r="BG166" s="58">
        <f>0</f>
        <v>0</v>
      </c>
      <c r="BH166" s="58">
        <f>0</f>
        <v>0</v>
      </c>
      <c r="BI166" s="58">
        <f>0</f>
        <v>0</v>
      </c>
      <c r="BJ166" s="58">
        <f>0</f>
        <v>0</v>
      </c>
      <c r="BK166" s="58">
        <f>0</f>
        <v>0</v>
      </c>
      <c r="BL166" s="58">
        <f>0</f>
        <v>0</v>
      </c>
      <c r="BM166" s="58">
        <f>0</f>
        <v>0</v>
      </c>
      <c r="BN166" s="58">
        <f>0</f>
        <v>0</v>
      </c>
      <c r="BO166" s="58">
        <f>0</f>
        <v>0</v>
      </c>
    </row>
    <row r="167" spans="1:67" ht="12.75" customHeight="1" x14ac:dyDescent="0.2">
      <c r="C167" s="27" t="s">
        <v>515</v>
      </c>
      <c r="D167" s="27" t="s">
        <v>491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58">
        <f t="shared" ref="R167:AW167" si="231">R163+R164+R165-R166</f>
        <v>4.6176285165941106E-2</v>
      </c>
      <c r="S167" s="58">
        <f t="shared" si="231"/>
        <v>9.2452768293068088E-2</v>
      </c>
      <c r="T167" s="58">
        <f t="shared" si="231"/>
        <v>0.13879852023091935</v>
      </c>
      <c r="U167" s="58">
        <f t="shared" si="231"/>
        <v>0.18518067592163664</v>
      </c>
      <c r="V167" s="58">
        <f t="shared" si="231"/>
        <v>0.23156434298884165</v>
      </c>
      <c r="W167" s="58">
        <f t="shared" si="231"/>
        <v>0.27791250639057108</v>
      </c>
      <c r="X167" s="58">
        <f t="shared" si="231"/>
        <v>0.32418592897324255</v>
      </c>
      <c r="Y167" s="58">
        <f t="shared" si="231"/>
        <v>0.37034304775699128</v>
      </c>
      <c r="Z167" s="58">
        <f t="shared" si="231"/>
        <v>0.41633986577581578</v>
      </c>
      <c r="AA167" s="58">
        <f t="shared" si="231"/>
        <v>0.43108073824704513</v>
      </c>
      <c r="AB167" s="58">
        <f t="shared" si="231"/>
        <v>0.41841572131069626</v>
      </c>
      <c r="AC167" s="58">
        <f t="shared" si="231"/>
        <v>0.40524410369689351</v>
      </c>
      <c r="AD167" s="58">
        <f t="shared" si="231"/>
        <v>0.39154562137853866</v>
      </c>
      <c r="AE167" s="58">
        <f t="shared" si="231"/>
        <v>0.37729919976744958</v>
      </c>
      <c r="AF167" s="58">
        <f t="shared" si="231"/>
        <v>0.36248292129191695</v>
      </c>
      <c r="AG167" s="58">
        <f t="shared" si="231"/>
        <v>0.34707399167736297</v>
      </c>
      <c r="AH167" s="58">
        <f t="shared" si="231"/>
        <v>0.33104870487822691</v>
      </c>
      <c r="AI167" s="58">
        <f t="shared" si="231"/>
        <v>0.31438240660712535</v>
      </c>
      <c r="AJ167" s="58">
        <f t="shared" si="231"/>
        <v>0.29704945640517977</v>
      </c>
      <c r="AK167" s="58">
        <f t="shared" si="231"/>
        <v>0.27902318819515637</v>
      </c>
      <c r="AL167" s="58">
        <f t="shared" si="231"/>
        <v>0.26027586925673196</v>
      </c>
      <c r="AM167" s="58">
        <f t="shared" si="231"/>
        <v>0.24077865756077063</v>
      </c>
      <c r="AN167" s="58">
        <f t="shared" si="231"/>
        <v>0.22050155739697083</v>
      </c>
      <c r="AO167" s="58">
        <f t="shared" si="231"/>
        <v>0.19941337322661906</v>
      </c>
      <c r="AP167" s="58">
        <f t="shared" si="231"/>
        <v>0.1774816616894532</v>
      </c>
      <c r="AQ167" s="58">
        <f t="shared" si="231"/>
        <v>0.1546726816908007</v>
      </c>
      <c r="AR167" s="58">
        <f t="shared" si="231"/>
        <v>0.13095134249220214</v>
      </c>
      <c r="AS167" s="58">
        <f t="shared" si="231"/>
        <v>0.10628114972565961</v>
      </c>
      <c r="AT167" s="58">
        <f t="shared" si="231"/>
        <v>8.0624149248455373E-2</v>
      </c>
      <c r="AU167" s="58">
        <f t="shared" si="231"/>
        <v>5.3940868752162981E-2</v>
      </c>
      <c r="AV167" s="58">
        <f t="shared" si="231"/>
        <v>2.6190257036018919E-2</v>
      </c>
      <c r="AW167" s="58">
        <f t="shared" si="231"/>
        <v>0</v>
      </c>
      <c r="AX167" s="58">
        <f t="shared" ref="AX167:BO167" si="232">AX163+AX164+AX165-AX166</f>
        <v>0</v>
      </c>
      <c r="AY167" s="58">
        <f t="shared" si="232"/>
        <v>0</v>
      </c>
      <c r="AZ167" s="58">
        <f t="shared" si="232"/>
        <v>0</v>
      </c>
      <c r="BA167" s="58">
        <f t="shared" si="232"/>
        <v>0</v>
      </c>
      <c r="BB167" s="58">
        <f t="shared" si="232"/>
        <v>0</v>
      </c>
      <c r="BC167" s="58">
        <f t="shared" si="232"/>
        <v>0</v>
      </c>
      <c r="BD167" s="58">
        <f t="shared" si="232"/>
        <v>0</v>
      </c>
      <c r="BE167" s="58">
        <f t="shared" si="232"/>
        <v>0</v>
      </c>
      <c r="BF167" s="58">
        <f t="shared" si="232"/>
        <v>0</v>
      </c>
      <c r="BG167" s="58">
        <f t="shared" si="232"/>
        <v>0</v>
      </c>
      <c r="BH167" s="58">
        <f t="shared" si="232"/>
        <v>0</v>
      </c>
      <c r="BI167" s="58">
        <f t="shared" si="232"/>
        <v>0</v>
      </c>
      <c r="BJ167" s="58">
        <f t="shared" si="232"/>
        <v>0</v>
      </c>
      <c r="BK167" s="58">
        <f t="shared" si="232"/>
        <v>0</v>
      </c>
      <c r="BL167" s="58">
        <f t="shared" si="232"/>
        <v>0</v>
      </c>
      <c r="BM167" s="58">
        <f t="shared" si="232"/>
        <v>0</v>
      </c>
      <c r="BN167" s="58">
        <f t="shared" si="232"/>
        <v>0</v>
      </c>
      <c r="BO167" s="58">
        <f t="shared" si="232"/>
        <v>0</v>
      </c>
    </row>
    <row r="168" spans="1:67" ht="12.75" customHeight="1" x14ac:dyDescent="0.2">
      <c r="C168" s="27" t="s">
        <v>246</v>
      </c>
      <c r="D168" s="27" t="s">
        <v>491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58">
        <f t="shared" ref="R168:AX168" si="233">R153*$E$24</f>
        <v>0.46176285165941117</v>
      </c>
      <c r="S168" s="58">
        <f t="shared" si="233"/>
        <v>0.45352957423808171</v>
      </c>
      <c r="T168" s="58">
        <f t="shared" si="233"/>
        <v>0.44496696571989908</v>
      </c>
      <c r="U168" s="58">
        <f t="shared" si="233"/>
        <v>0.43606185286098914</v>
      </c>
      <c r="V168" s="58">
        <f t="shared" si="233"/>
        <v>0.42680053548772279</v>
      </c>
      <c r="W168" s="58">
        <f t="shared" si="233"/>
        <v>0.4171687654195258</v>
      </c>
      <c r="X168" s="58">
        <f t="shared" si="233"/>
        <v>0.40715172454860094</v>
      </c>
      <c r="Y168" s="58">
        <f t="shared" si="233"/>
        <v>0.3967340020428391</v>
      </c>
      <c r="Z168" s="58">
        <f t="shared" si="233"/>
        <v>0.38589957063684671</v>
      </c>
      <c r="AA168" s="58">
        <f t="shared" si="233"/>
        <v>0.37463176197461467</v>
      </c>
      <c r="AB168" s="58">
        <f t="shared" si="233"/>
        <v>0.36291324096589334</v>
      </c>
      <c r="AC168" s="58">
        <f t="shared" si="233"/>
        <v>0.35072597911682318</v>
      </c>
      <c r="AD168" s="58">
        <f t="shared" si="233"/>
        <v>0.33805122679379018</v>
      </c>
      <c r="AE168" s="58">
        <f t="shared" si="233"/>
        <v>0.32486948437783592</v>
      </c>
      <c r="AF168" s="58">
        <f t="shared" si="233"/>
        <v>0.3111604722652434</v>
      </c>
      <c r="AG168" s="58">
        <f t="shared" si="233"/>
        <v>0.29690309966814726</v>
      </c>
      <c r="AH168" s="58">
        <f t="shared" si="233"/>
        <v>0.28207543216716724</v>
      </c>
      <c r="AI168" s="58">
        <f t="shared" si="233"/>
        <v>0.26665465796614801</v>
      </c>
      <c r="AJ168" s="58">
        <f t="shared" si="233"/>
        <v>0.25061705279708801</v>
      </c>
      <c r="AK168" s="58">
        <f t="shared" si="233"/>
        <v>0.23393794342126562</v>
      </c>
      <c r="AL168" s="58">
        <f t="shared" si="233"/>
        <v>0.21659166967041035</v>
      </c>
      <c r="AM168" s="58">
        <f t="shared" si="233"/>
        <v>0.19855154496952085</v>
      </c>
      <c r="AN168" s="58">
        <f t="shared" si="233"/>
        <v>0.17978981528059579</v>
      </c>
      <c r="AO168" s="58">
        <f t="shared" si="233"/>
        <v>0.1602776164041137</v>
      </c>
      <c r="AP168" s="58">
        <f t="shared" si="233"/>
        <v>0.13998492957257233</v>
      </c>
      <c r="AQ168" s="58">
        <f t="shared" si="233"/>
        <v>0.11888053526776933</v>
      </c>
      <c r="AR168" s="58">
        <f t="shared" si="233"/>
        <v>9.6931965190774197E-2</v>
      </c>
      <c r="AS168" s="58">
        <f t="shared" si="233"/>
        <v>7.410545231069926E-2</v>
      </c>
      <c r="AT168" s="58">
        <f t="shared" si="233"/>
        <v>5.0365878915421325E-2</v>
      </c>
      <c r="AU168" s="58">
        <f t="shared" si="233"/>
        <v>2.5676722584332273E-2</v>
      </c>
      <c r="AV168" s="58">
        <f t="shared" si="233"/>
        <v>0</v>
      </c>
      <c r="AW168" s="58">
        <f t="shared" si="233"/>
        <v>0</v>
      </c>
      <c r="AX168" s="58">
        <f t="shared" si="233"/>
        <v>0</v>
      </c>
      <c r="AY168" s="58">
        <f t="shared" ref="AY168:BO168" si="234">AY153*$E$24</f>
        <v>0</v>
      </c>
      <c r="AZ168" s="58">
        <f t="shared" si="234"/>
        <v>0</v>
      </c>
      <c r="BA168" s="58">
        <f t="shared" si="234"/>
        <v>0</v>
      </c>
      <c r="BB168" s="58">
        <f t="shared" si="234"/>
        <v>0</v>
      </c>
      <c r="BC168" s="58">
        <f t="shared" si="234"/>
        <v>0</v>
      </c>
      <c r="BD168" s="58">
        <f t="shared" si="234"/>
        <v>0</v>
      </c>
      <c r="BE168" s="58">
        <f t="shared" si="234"/>
        <v>0</v>
      </c>
      <c r="BF168" s="58">
        <f t="shared" si="234"/>
        <v>0</v>
      </c>
      <c r="BG168" s="58">
        <f t="shared" si="234"/>
        <v>0</v>
      </c>
      <c r="BH168" s="58">
        <f t="shared" si="234"/>
        <v>0</v>
      </c>
      <c r="BI168" s="58">
        <f t="shared" si="234"/>
        <v>0</v>
      </c>
      <c r="BJ168" s="58">
        <f t="shared" si="234"/>
        <v>0</v>
      </c>
      <c r="BK168" s="58">
        <f t="shared" si="234"/>
        <v>0</v>
      </c>
      <c r="BL168" s="58">
        <f t="shared" si="234"/>
        <v>0</v>
      </c>
      <c r="BM168" s="58">
        <f t="shared" si="234"/>
        <v>0</v>
      </c>
      <c r="BN168" s="58">
        <f t="shared" si="234"/>
        <v>0</v>
      </c>
      <c r="BO168" s="58">
        <f t="shared" si="234"/>
        <v>0</v>
      </c>
    </row>
    <row r="169" spans="1:67" ht="12.75" customHeight="1" x14ac:dyDescent="0.2">
      <c r="C169" s="38" t="s">
        <v>251</v>
      </c>
      <c r="D169" s="27" t="s">
        <v>491</v>
      </c>
      <c r="F169" s="26"/>
      <c r="G169" s="150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58">
        <f>MAX(R167-R168,0)</f>
        <v>0</v>
      </c>
      <c r="S169" s="58">
        <f t="shared" ref="S169:AU169" si="235">MAX(S167-S168,0)</f>
        <v>0</v>
      </c>
      <c r="T169" s="58">
        <f t="shared" si="235"/>
        <v>0</v>
      </c>
      <c r="U169" s="58">
        <f t="shared" si="235"/>
        <v>0</v>
      </c>
      <c r="V169" s="58">
        <f t="shared" si="235"/>
        <v>0</v>
      </c>
      <c r="W169" s="58">
        <f t="shared" si="235"/>
        <v>0</v>
      </c>
      <c r="X169" s="58">
        <f t="shared" si="235"/>
        <v>0</v>
      </c>
      <c r="Y169" s="58">
        <f t="shared" si="235"/>
        <v>0</v>
      </c>
      <c r="Z169" s="58">
        <f t="shared" si="235"/>
        <v>3.0440295138969065E-2</v>
      </c>
      <c r="AA169" s="58">
        <f t="shared" si="235"/>
        <v>5.6448976272430451E-2</v>
      </c>
      <c r="AB169" s="58">
        <f t="shared" si="235"/>
        <v>5.5502480344802929E-2</v>
      </c>
      <c r="AC169" s="58">
        <f t="shared" si="235"/>
        <v>5.4518124580070326E-2</v>
      </c>
      <c r="AD169" s="58">
        <f t="shared" si="235"/>
        <v>5.3494394584748473E-2</v>
      </c>
      <c r="AE169" s="58">
        <f t="shared" si="235"/>
        <v>5.2429715389613663E-2</v>
      </c>
      <c r="AF169" s="58">
        <f t="shared" si="235"/>
        <v>5.1322449026673544E-2</v>
      </c>
      <c r="AG169" s="58">
        <f t="shared" si="235"/>
        <v>5.0170892009215706E-2</v>
      </c>
      <c r="AH169" s="58">
        <f t="shared" si="235"/>
        <v>4.8973272711059668E-2</v>
      </c>
      <c r="AI169" s="58">
        <f t="shared" si="235"/>
        <v>4.7727748640977341E-2</v>
      </c>
      <c r="AJ169" s="58">
        <f t="shared" si="235"/>
        <v>4.6432403608091755E-2</v>
      </c>
      <c r="AK169" s="58">
        <f t="shared" si="235"/>
        <v>4.5085244773890754E-2</v>
      </c>
      <c r="AL169" s="58">
        <f t="shared" si="235"/>
        <v>4.3684199586321609E-2</v>
      </c>
      <c r="AM169" s="58">
        <f t="shared" si="235"/>
        <v>4.2227112591249782E-2</v>
      </c>
      <c r="AN169" s="58">
        <f t="shared" si="235"/>
        <v>4.0711742116375044E-2</v>
      </c>
      <c r="AO169" s="58">
        <f t="shared" si="235"/>
        <v>3.9135756822505363E-2</v>
      </c>
      <c r="AP169" s="58">
        <f t="shared" si="235"/>
        <v>3.7496732116880871E-2</v>
      </c>
      <c r="AQ169" s="58">
        <f t="shared" si="235"/>
        <v>3.5792146423031371E-2</v>
      </c>
      <c r="AR169" s="58">
        <f t="shared" si="235"/>
        <v>3.4019377301427942E-2</v>
      </c>
      <c r="AS169" s="58">
        <f t="shared" si="235"/>
        <v>3.2175697414960347E-2</v>
      </c>
      <c r="AT169" s="58">
        <f t="shared" si="235"/>
        <v>3.0258270333034049E-2</v>
      </c>
      <c r="AU169" s="58">
        <f t="shared" si="235"/>
        <v>2.8264146167830708E-2</v>
      </c>
      <c r="AV169" s="58">
        <f t="shared" ref="AV169:AW169" si="236">MAX(AV167-AV168,0)</f>
        <v>2.6190257036018919E-2</v>
      </c>
      <c r="AW169" s="58">
        <f t="shared" si="236"/>
        <v>0</v>
      </c>
      <c r="AX169" s="58">
        <f t="shared" ref="AX169:BO169" si="237">MAX(AX167-AX168,0)</f>
        <v>0</v>
      </c>
      <c r="AY169" s="58">
        <f t="shared" si="237"/>
        <v>0</v>
      </c>
      <c r="AZ169" s="58">
        <f t="shared" si="237"/>
        <v>0</v>
      </c>
      <c r="BA169" s="58">
        <f t="shared" si="237"/>
        <v>0</v>
      </c>
      <c r="BB169" s="58">
        <f t="shared" si="237"/>
        <v>0</v>
      </c>
      <c r="BC169" s="58">
        <f t="shared" si="237"/>
        <v>0</v>
      </c>
      <c r="BD169" s="58">
        <f t="shared" si="237"/>
        <v>0</v>
      </c>
      <c r="BE169" s="58">
        <f t="shared" si="237"/>
        <v>0</v>
      </c>
      <c r="BF169" s="58">
        <f t="shared" si="237"/>
        <v>0</v>
      </c>
      <c r="BG169" s="58">
        <f t="shared" si="237"/>
        <v>0</v>
      </c>
      <c r="BH169" s="58">
        <f t="shared" si="237"/>
        <v>0</v>
      </c>
      <c r="BI169" s="58">
        <f t="shared" si="237"/>
        <v>0</v>
      </c>
      <c r="BJ169" s="58">
        <f t="shared" si="237"/>
        <v>0</v>
      </c>
      <c r="BK169" s="58">
        <f t="shared" si="237"/>
        <v>0</v>
      </c>
      <c r="BL169" s="58">
        <f t="shared" si="237"/>
        <v>0</v>
      </c>
      <c r="BM169" s="58">
        <f t="shared" si="237"/>
        <v>0</v>
      </c>
      <c r="BN169" s="58">
        <f t="shared" si="237"/>
        <v>0</v>
      </c>
      <c r="BO169" s="58">
        <f t="shared" si="237"/>
        <v>0</v>
      </c>
    </row>
    <row r="170" spans="1:67" ht="12.75" customHeight="1" x14ac:dyDescent="0.2">
      <c r="C170" s="27" t="s">
        <v>252</v>
      </c>
      <c r="D170" s="27" t="s">
        <v>491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58">
        <f>R167-R169</f>
        <v>4.6176285165941106E-2</v>
      </c>
      <c r="S170" s="58">
        <f>S167-S169</f>
        <v>9.2452768293068088E-2</v>
      </c>
      <c r="T170" s="58">
        <f>T167-T169</f>
        <v>0.13879852023091935</v>
      </c>
      <c r="U170" s="58">
        <f t="shared" ref="U170:AW170" si="238">U167-U169</f>
        <v>0.18518067592163664</v>
      </c>
      <c r="V170" s="58">
        <f t="shared" si="238"/>
        <v>0.23156434298884165</v>
      </c>
      <c r="W170" s="58">
        <f t="shared" si="238"/>
        <v>0.27791250639057108</v>
      </c>
      <c r="X170" s="58">
        <f t="shared" si="238"/>
        <v>0.32418592897324255</v>
      </c>
      <c r="Y170" s="58">
        <f t="shared" si="238"/>
        <v>0.37034304775699128</v>
      </c>
      <c r="Z170" s="58">
        <f t="shared" si="238"/>
        <v>0.38589957063684671</v>
      </c>
      <c r="AA170" s="58">
        <f t="shared" si="238"/>
        <v>0.37463176197461467</v>
      </c>
      <c r="AB170" s="58">
        <f t="shared" si="238"/>
        <v>0.36291324096589334</v>
      </c>
      <c r="AC170" s="58">
        <f t="shared" si="238"/>
        <v>0.35072597911682318</v>
      </c>
      <c r="AD170" s="58">
        <f t="shared" si="238"/>
        <v>0.33805122679379018</v>
      </c>
      <c r="AE170" s="58">
        <f t="shared" si="238"/>
        <v>0.32486948437783592</v>
      </c>
      <c r="AF170" s="58">
        <f t="shared" si="238"/>
        <v>0.3111604722652434</v>
      </c>
      <c r="AG170" s="58">
        <f t="shared" si="238"/>
        <v>0.29690309966814726</v>
      </c>
      <c r="AH170" s="58">
        <f t="shared" si="238"/>
        <v>0.28207543216716724</v>
      </c>
      <c r="AI170" s="58">
        <f t="shared" si="238"/>
        <v>0.26665465796614801</v>
      </c>
      <c r="AJ170" s="58">
        <f t="shared" si="238"/>
        <v>0.25061705279708801</v>
      </c>
      <c r="AK170" s="58">
        <f t="shared" si="238"/>
        <v>0.23393794342126562</v>
      </c>
      <c r="AL170" s="58">
        <f t="shared" si="238"/>
        <v>0.21659166967041035</v>
      </c>
      <c r="AM170" s="58">
        <f t="shared" si="238"/>
        <v>0.19855154496952085</v>
      </c>
      <c r="AN170" s="58">
        <f t="shared" si="238"/>
        <v>0.17978981528059579</v>
      </c>
      <c r="AO170" s="58">
        <f t="shared" si="238"/>
        <v>0.1602776164041137</v>
      </c>
      <c r="AP170" s="58">
        <f t="shared" si="238"/>
        <v>0.13998492957257233</v>
      </c>
      <c r="AQ170" s="58">
        <f t="shared" si="238"/>
        <v>0.11888053526776933</v>
      </c>
      <c r="AR170" s="58">
        <f t="shared" si="238"/>
        <v>9.6931965190774197E-2</v>
      </c>
      <c r="AS170" s="58">
        <f t="shared" si="238"/>
        <v>7.410545231069926E-2</v>
      </c>
      <c r="AT170" s="58">
        <f t="shared" si="238"/>
        <v>5.0365878915421325E-2</v>
      </c>
      <c r="AU170" s="58">
        <f t="shared" si="238"/>
        <v>2.5676722584332273E-2</v>
      </c>
      <c r="AV170" s="58">
        <f t="shared" si="238"/>
        <v>0</v>
      </c>
      <c r="AW170" s="58">
        <f t="shared" si="238"/>
        <v>0</v>
      </c>
      <c r="AX170" s="58">
        <f t="shared" ref="AX170:BO170" si="239">AX167-AX169</f>
        <v>0</v>
      </c>
      <c r="AY170" s="58">
        <f t="shared" si="239"/>
        <v>0</v>
      </c>
      <c r="AZ170" s="58">
        <f t="shared" si="239"/>
        <v>0</v>
      </c>
      <c r="BA170" s="58">
        <f t="shared" si="239"/>
        <v>0</v>
      </c>
      <c r="BB170" s="58">
        <f t="shared" si="239"/>
        <v>0</v>
      </c>
      <c r="BC170" s="58">
        <f t="shared" si="239"/>
        <v>0</v>
      </c>
      <c r="BD170" s="58">
        <f t="shared" si="239"/>
        <v>0</v>
      </c>
      <c r="BE170" s="58">
        <f t="shared" si="239"/>
        <v>0</v>
      </c>
      <c r="BF170" s="58">
        <f t="shared" si="239"/>
        <v>0</v>
      </c>
      <c r="BG170" s="58">
        <f t="shared" si="239"/>
        <v>0</v>
      </c>
      <c r="BH170" s="58">
        <f t="shared" si="239"/>
        <v>0</v>
      </c>
      <c r="BI170" s="58">
        <f t="shared" si="239"/>
        <v>0</v>
      </c>
      <c r="BJ170" s="58">
        <f t="shared" si="239"/>
        <v>0</v>
      </c>
      <c r="BK170" s="58">
        <f t="shared" si="239"/>
        <v>0</v>
      </c>
      <c r="BL170" s="58">
        <f t="shared" si="239"/>
        <v>0</v>
      </c>
      <c r="BM170" s="58">
        <f t="shared" si="239"/>
        <v>0</v>
      </c>
      <c r="BN170" s="58">
        <f t="shared" si="239"/>
        <v>0</v>
      </c>
      <c r="BO170" s="58">
        <f t="shared" si="239"/>
        <v>0</v>
      </c>
    </row>
    <row r="171" spans="1:67" ht="12.75" customHeight="1" x14ac:dyDescent="0.2">
      <c r="C171" s="27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128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</row>
    <row r="172" spans="1:67" ht="12.75" customHeight="1" x14ac:dyDescent="0.2">
      <c r="C172" s="27" t="s">
        <v>232</v>
      </c>
      <c r="D172" s="27" t="s">
        <v>491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58">
        <f t="shared" ref="R172:AX172" si="240">$E$12*R158</f>
        <v>0</v>
      </c>
      <c r="S172" s="58">
        <f t="shared" si="240"/>
        <v>0</v>
      </c>
      <c r="T172" s="58">
        <f t="shared" si="240"/>
        <v>0</v>
      </c>
      <c r="U172" s="58">
        <f t="shared" si="240"/>
        <v>0</v>
      </c>
      <c r="V172" s="58">
        <f t="shared" si="240"/>
        <v>0</v>
      </c>
      <c r="W172" s="58">
        <f t="shared" si="240"/>
        <v>0</v>
      </c>
      <c r="X172" s="58">
        <f t="shared" si="240"/>
        <v>0</v>
      </c>
      <c r="Y172" s="58">
        <f t="shared" si="240"/>
        <v>0</v>
      </c>
      <c r="Z172" s="58">
        <f t="shared" si="240"/>
        <v>0</v>
      </c>
      <c r="AA172" s="58">
        <f t="shared" si="240"/>
        <v>0</v>
      </c>
      <c r="AB172" s="58">
        <f t="shared" si="240"/>
        <v>0</v>
      </c>
      <c r="AC172" s="58">
        <f t="shared" si="240"/>
        <v>0</v>
      </c>
      <c r="AD172" s="58">
        <f t="shared" si="240"/>
        <v>0</v>
      </c>
      <c r="AE172" s="58">
        <f t="shared" si="240"/>
        <v>0</v>
      </c>
      <c r="AF172" s="58">
        <f t="shared" si="240"/>
        <v>0</v>
      </c>
      <c r="AG172" s="58">
        <f t="shared" si="240"/>
        <v>0</v>
      </c>
      <c r="AH172" s="58">
        <f t="shared" si="240"/>
        <v>0</v>
      </c>
      <c r="AI172" s="58">
        <f t="shared" si="240"/>
        <v>0</v>
      </c>
      <c r="AJ172" s="58">
        <f t="shared" si="240"/>
        <v>0</v>
      </c>
      <c r="AK172" s="58">
        <f t="shared" si="240"/>
        <v>0</v>
      </c>
      <c r="AL172" s="58">
        <f t="shared" si="240"/>
        <v>0</v>
      </c>
      <c r="AM172" s="58">
        <f t="shared" si="240"/>
        <v>0</v>
      </c>
      <c r="AN172" s="58">
        <f t="shared" si="240"/>
        <v>0</v>
      </c>
      <c r="AO172" s="58">
        <f t="shared" si="240"/>
        <v>0</v>
      </c>
      <c r="AP172" s="58">
        <f t="shared" si="240"/>
        <v>0</v>
      </c>
      <c r="AQ172" s="58">
        <f t="shared" si="240"/>
        <v>0</v>
      </c>
      <c r="AR172" s="58">
        <f t="shared" si="240"/>
        <v>0</v>
      </c>
      <c r="AS172" s="58">
        <f t="shared" si="240"/>
        <v>0</v>
      </c>
      <c r="AT172" s="58">
        <f t="shared" si="240"/>
        <v>0</v>
      </c>
      <c r="AU172" s="58">
        <f t="shared" si="240"/>
        <v>0</v>
      </c>
      <c r="AV172" s="58">
        <f t="shared" si="240"/>
        <v>0</v>
      </c>
      <c r="AW172" s="58">
        <f t="shared" si="240"/>
        <v>0</v>
      </c>
      <c r="AX172" s="58">
        <f t="shared" si="240"/>
        <v>0</v>
      </c>
      <c r="AY172" s="58">
        <f t="shared" ref="AY172:BO172" si="241">$E$12*AY158</f>
        <v>0</v>
      </c>
      <c r="AZ172" s="58">
        <f t="shared" si="241"/>
        <v>0</v>
      </c>
      <c r="BA172" s="58">
        <f t="shared" si="241"/>
        <v>0</v>
      </c>
      <c r="BB172" s="58">
        <f t="shared" si="241"/>
        <v>0</v>
      </c>
      <c r="BC172" s="58">
        <f t="shared" si="241"/>
        <v>0</v>
      </c>
      <c r="BD172" s="58">
        <f t="shared" si="241"/>
        <v>0</v>
      </c>
      <c r="BE172" s="58">
        <f t="shared" si="241"/>
        <v>0</v>
      </c>
      <c r="BF172" s="58">
        <f t="shared" si="241"/>
        <v>0</v>
      </c>
      <c r="BG172" s="58">
        <f t="shared" si="241"/>
        <v>0</v>
      </c>
      <c r="BH172" s="58">
        <f t="shared" si="241"/>
        <v>0</v>
      </c>
      <c r="BI172" s="58">
        <f t="shared" si="241"/>
        <v>0</v>
      </c>
      <c r="BJ172" s="58">
        <f t="shared" si="241"/>
        <v>0</v>
      </c>
      <c r="BK172" s="58">
        <f t="shared" si="241"/>
        <v>0</v>
      </c>
      <c r="BL172" s="58">
        <f t="shared" si="241"/>
        <v>0</v>
      </c>
      <c r="BM172" s="58">
        <f t="shared" si="241"/>
        <v>0</v>
      </c>
      <c r="BN172" s="58">
        <f t="shared" si="241"/>
        <v>0</v>
      </c>
      <c r="BO172" s="58">
        <f t="shared" si="241"/>
        <v>0</v>
      </c>
    </row>
    <row r="173" spans="1:67" ht="12.75" customHeight="1" x14ac:dyDescent="0.2">
      <c r="C173" s="27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</row>
    <row r="175" spans="1:67" ht="12.75" customHeight="1" x14ac:dyDescent="0.2">
      <c r="A175" s="28" t="s">
        <v>204</v>
      </c>
      <c r="F175" s="32"/>
    </row>
    <row r="176" spans="1:67" ht="12.75" customHeight="1" x14ac:dyDescent="0.2">
      <c r="A176" s="28"/>
      <c r="B176" s="28" t="s">
        <v>83</v>
      </c>
      <c r="F176" s="32"/>
    </row>
    <row r="177" spans="2:13" ht="12.75" customHeight="1" x14ac:dyDescent="0.25">
      <c r="B177" s="28"/>
      <c r="E177"/>
      <c r="F177" s="32"/>
      <c r="G177" s="23" t="s">
        <v>257</v>
      </c>
    </row>
    <row r="178" spans="2:13" ht="12.75" customHeight="1" x14ac:dyDescent="0.25">
      <c r="B178" s="28"/>
      <c r="C178" s="23" t="s">
        <v>316</v>
      </c>
      <c r="D178" s="211"/>
      <c r="E178" s="95">
        <v>2</v>
      </c>
      <c r="F178"/>
    </row>
    <row r="179" spans="2:13" ht="12.75" customHeight="1" x14ac:dyDescent="0.25">
      <c r="B179" s="119"/>
      <c r="C179" s="25" t="s">
        <v>213</v>
      </c>
      <c r="D179" s="114" t="s">
        <v>19</v>
      </c>
      <c r="E179" s="114" t="s">
        <v>74</v>
      </c>
      <c r="F179"/>
      <c r="G179" s="55" t="s">
        <v>258</v>
      </c>
      <c r="H179" s="55" t="s">
        <v>259</v>
      </c>
      <c r="I179" s="188" t="s">
        <v>565</v>
      </c>
    </row>
    <row r="180" spans="2:13" ht="12.75" customHeight="1" x14ac:dyDescent="0.25">
      <c r="C180" s="23" t="s">
        <v>516</v>
      </c>
      <c r="D180" s="55" t="s">
        <v>78</v>
      </c>
      <c r="E180" s="136">
        <f>CHOOSE($E$178,G180,H180)</f>
        <v>180</v>
      </c>
      <c r="F180"/>
      <c r="G180" s="40">
        <v>180</v>
      </c>
      <c r="H180" s="40">
        <v>180</v>
      </c>
      <c r="I180" s="182">
        <v>180</v>
      </c>
      <c r="M180" s="32"/>
    </row>
    <row r="181" spans="2:13" ht="12.75" customHeight="1" x14ac:dyDescent="0.25">
      <c r="C181" s="23" t="s">
        <v>99</v>
      </c>
      <c r="D181" s="55"/>
      <c r="E181" s="151">
        <f t="shared" ref="E181:E203" si="242">CHOOSE($E$178,G181,H181)</f>
        <v>0.5</v>
      </c>
      <c r="F181"/>
      <c r="G181" s="44">
        <v>0.5</v>
      </c>
      <c r="H181" s="44">
        <v>0.5</v>
      </c>
      <c r="I181" s="183">
        <v>0.5</v>
      </c>
      <c r="M181" s="32"/>
    </row>
    <row r="182" spans="2:13" ht="12.75" customHeight="1" x14ac:dyDescent="0.25">
      <c r="C182" s="23" t="s">
        <v>100</v>
      </c>
      <c r="D182" s="55" t="s">
        <v>0</v>
      </c>
      <c r="E182" s="136">
        <f t="shared" si="242"/>
        <v>788940</v>
      </c>
      <c r="F182"/>
      <c r="G182" s="89">
        <f>G181*G180*8766</f>
        <v>788940</v>
      </c>
      <c r="H182" s="89">
        <f>H181*H180*8766</f>
        <v>788940</v>
      </c>
      <c r="I182" s="184">
        <f>I181*I180*8766</f>
        <v>788940</v>
      </c>
      <c r="M182"/>
    </row>
    <row r="183" spans="2:13" ht="12.75" customHeight="1" x14ac:dyDescent="0.25">
      <c r="C183" s="23" t="s">
        <v>98</v>
      </c>
      <c r="D183" s="55" t="s">
        <v>84</v>
      </c>
      <c r="E183" s="136">
        <f t="shared" si="242"/>
        <v>7300</v>
      </c>
      <c r="F183"/>
      <c r="G183" s="95">
        <v>7300</v>
      </c>
      <c r="H183" s="95">
        <v>7300</v>
      </c>
      <c r="I183" s="185">
        <v>7300</v>
      </c>
      <c r="M183"/>
    </row>
    <row r="184" spans="2:13" ht="12.75" customHeight="1" x14ac:dyDescent="0.25">
      <c r="C184" s="23" t="s">
        <v>103</v>
      </c>
      <c r="D184" s="55" t="s">
        <v>267</v>
      </c>
      <c r="E184" s="136">
        <f t="shared" si="242"/>
        <v>2000</v>
      </c>
      <c r="F184"/>
      <c r="G184" s="40">
        <v>2000</v>
      </c>
      <c r="H184" s="40">
        <v>2000</v>
      </c>
      <c r="I184" s="182">
        <v>2000</v>
      </c>
    </row>
    <row r="185" spans="2:13" ht="12.75" customHeight="1" x14ac:dyDescent="0.25">
      <c r="C185" s="23" t="s">
        <v>104</v>
      </c>
      <c r="D185" s="55" t="s">
        <v>221</v>
      </c>
      <c r="E185" s="60">
        <f t="shared" si="242"/>
        <v>0.36</v>
      </c>
      <c r="F185"/>
      <c r="G185" s="90">
        <f>G184*(G180*1000)/1000000000</f>
        <v>0.36</v>
      </c>
      <c r="H185" s="90">
        <f>H184*(H180*1000)/1000000000</f>
        <v>0.36</v>
      </c>
      <c r="I185" s="186">
        <f>I184*(I180*1000)/1000000000</f>
        <v>0.36</v>
      </c>
      <c r="K185" s="23">
        <f>E185*1000000/E182</f>
        <v>0.4563084645220169</v>
      </c>
    </row>
    <row r="186" spans="2:13" ht="12.75" customHeight="1" x14ac:dyDescent="0.25">
      <c r="C186" s="23" t="s">
        <v>517</v>
      </c>
      <c r="D186" s="55" t="s">
        <v>33</v>
      </c>
      <c r="E186" s="136">
        <f t="shared" si="242"/>
        <v>4</v>
      </c>
      <c r="F186"/>
      <c r="G186" s="223">
        <v>4</v>
      </c>
      <c r="H186" s="223">
        <v>4</v>
      </c>
      <c r="I186" s="187">
        <v>4</v>
      </c>
    </row>
    <row r="187" spans="2:13" ht="12.75" customHeight="1" x14ac:dyDescent="0.25">
      <c r="C187" s="23" t="s">
        <v>518</v>
      </c>
      <c r="D187" s="55" t="s">
        <v>268</v>
      </c>
      <c r="E187" s="138">
        <f t="shared" si="242"/>
        <v>14.6</v>
      </c>
      <c r="F187"/>
      <c r="G187" s="95">
        <v>14.6</v>
      </c>
      <c r="H187" s="95">
        <v>14.6</v>
      </c>
      <c r="I187" s="188">
        <v>14.6</v>
      </c>
    </row>
    <row r="188" spans="2:13" ht="12.75" customHeight="1" x14ac:dyDescent="0.25">
      <c r="C188" s="23" t="s">
        <v>519</v>
      </c>
      <c r="D188" s="55" t="s">
        <v>269</v>
      </c>
      <c r="E188" s="138">
        <f t="shared" si="242"/>
        <v>3</v>
      </c>
      <c r="F188"/>
      <c r="G188" s="88">
        <v>3</v>
      </c>
      <c r="H188" s="88">
        <v>3</v>
      </c>
      <c r="I188" s="189">
        <v>3</v>
      </c>
    </row>
    <row r="189" spans="2:13" ht="12.75" customHeight="1" x14ac:dyDescent="0.2">
      <c r="C189" s="23" t="s">
        <v>32</v>
      </c>
      <c r="D189" s="55" t="s">
        <v>221</v>
      </c>
      <c r="E189" s="60">
        <f t="shared" si="242"/>
        <v>4.9948199999999996E-3</v>
      </c>
      <c r="G189" s="91">
        <f t="shared" ref="G189:I189" si="243">((G187*(G180*1000)+G188*G182))/1000000000</f>
        <v>4.9948199999999996E-3</v>
      </c>
      <c r="H189" s="91">
        <f t="shared" si="243"/>
        <v>4.9948199999999996E-3</v>
      </c>
      <c r="I189" s="190">
        <f t="shared" si="243"/>
        <v>4.9948199999999996E-3</v>
      </c>
    </row>
    <row r="190" spans="2:13" ht="12.75" customHeight="1" x14ac:dyDescent="0.2">
      <c r="C190" s="23" t="s">
        <v>75</v>
      </c>
      <c r="D190" s="55"/>
      <c r="E190" s="134">
        <f t="shared" si="242"/>
        <v>1</v>
      </c>
      <c r="G190" s="72">
        <v>1</v>
      </c>
      <c r="H190" s="72">
        <v>1</v>
      </c>
      <c r="I190" s="191">
        <v>1</v>
      </c>
    </row>
    <row r="191" spans="2:13" ht="12.75" customHeight="1" x14ac:dyDescent="0.2">
      <c r="C191" s="23" t="s">
        <v>226</v>
      </c>
      <c r="D191" s="55"/>
      <c r="E191" s="134">
        <f t="shared" si="242"/>
        <v>0</v>
      </c>
      <c r="G191" s="72">
        <v>0</v>
      </c>
      <c r="H191" s="72">
        <v>0</v>
      </c>
      <c r="I191" s="191">
        <v>0</v>
      </c>
      <c r="J191" s="23" t="str">
        <f>IF(SUM(E190,E191)=1,"","NOT OK")</f>
        <v/>
      </c>
    </row>
    <row r="192" spans="2:13" ht="12.75" customHeight="1" x14ac:dyDescent="0.2">
      <c r="C192" s="23" t="s">
        <v>224</v>
      </c>
      <c r="D192" s="55" t="s">
        <v>20</v>
      </c>
      <c r="E192" s="135">
        <f t="shared" si="242"/>
        <v>0.06</v>
      </c>
      <c r="G192" s="36">
        <v>0.05</v>
      </c>
      <c r="H192" s="276">
        <v>0.06</v>
      </c>
      <c r="I192" s="192">
        <v>0.06</v>
      </c>
    </row>
    <row r="193" spans="2:9" ht="12.75" customHeight="1" x14ac:dyDescent="0.2">
      <c r="C193" s="23" t="s">
        <v>34</v>
      </c>
      <c r="D193" s="55" t="s">
        <v>33</v>
      </c>
      <c r="E193" s="136">
        <f t="shared" si="242"/>
        <v>30</v>
      </c>
      <c r="G193" s="40">
        <v>30</v>
      </c>
      <c r="H193" s="40">
        <v>30</v>
      </c>
      <c r="I193" s="182">
        <v>30</v>
      </c>
    </row>
    <row r="194" spans="2:9" ht="12.75" customHeight="1" x14ac:dyDescent="0.2">
      <c r="C194" s="23" t="s">
        <v>578</v>
      </c>
      <c r="D194" s="55" t="s">
        <v>33</v>
      </c>
      <c r="E194" s="136">
        <f>CHOOSE($E$178,G194,H194)</f>
        <v>30</v>
      </c>
      <c r="G194" s="40">
        <v>30</v>
      </c>
      <c r="H194" s="40">
        <v>30</v>
      </c>
      <c r="I194" s="182">
        <v>30</v>
      </c>
    </row>
    <row r="195" spans="2:9" ht="12.75" customHeight="1" x14ac:dyDescent="0.2">
      <c r="C195" s="23" t="s">
        <v>225</v>
      </c>
      <c r="D195" s="55"/>
      <c r="E195" s="135">
        <f t="shared" si="242"/>
        <v>0.06</v>
      </c>
      <c r="G195" s="36">
        <v>0.02</v>
      </c>
      <c r="H195" s="276">
        <v>0.06</v>
      </c>
      <c r="I195" s="192">
        <v>0.02</v>
      </c>
    </row>
    <row r="196" spans="2:9" ht="12.75" customHeight="1" x14ac:dyDescent="0.2">
      <c r="C196" s="23" t="s">
        <v>569</v>
      </c>
      <c r="D196" s="55" t="s">
        <v>570</v>
      </c>
      <c r="E196" s="229">
        <f>CHOOSE($E$178,G196,H196,I196)</f>
        <v>0</v>
      </c>
      <c r="G196" s="228">
        <v>1</v>
      </c>
      <c r="H196" s="228">
        <v>0</v>
      </c>
      <c r="I196" s="228">
        <v>1</v>
      </c>
    </row>
    <row r="197" spans="2:9" ht="12.75" customHeight="1" x14ac:dyDescent="0.2">
      <c r="C197" s="23" t="s">
        <v>601</v>
      </c>
      <c r="D197" s="55" t="s">
        <v>20</v>
      </c>
      <c r="E197" s="135">
        <f t="shared" ref="E197" si="244">CHOOSE($E$4,G197,H197,I197)</f>
        <v>0.02</v>
      </c>
      <c r="G197" s="36">
        <v>0.02</v>
      </c>
      <c r="H197" s="36">
        <v>0.02</v>
      </c>
      <c r="I197" s="36">
        <v>0.02</v>
      </c>
    </row>
    <row r="198" spans="2:9" ht="12.75" customHeight="1" x14ac:dyDescent="0.2">
      <c r="C198" s="23" t="s">
        <v>580</v>
      </c>
      <c r="D198" s="55" t="s">
        <v>570</v>
      </c>
      <c r="E198" s="138">
        <f>CHOOSE($E$178,G198,H198)</f>
        <v>1.25</v>
      </c>
      <c r="G198" s="88">
        <v>1</v>
      </c>
      <c r="H198" s="88">
        <v>1.25</v>
      </c>
      <c r="I198" s="189">
        <v>1.1000000000000001</v>
      </c>
    </row>
    <row r="199" spans="2:9" ht="12.75" customHeight="1" x14ac:dyDescent="0.2">
      <c r="C199" s="23" t="s">
        <v>522</v>
      </c>
      <c r="D199" s="55" t="s">
        <v>21</v>
      </c>
      <c r="E199" s="137">
        <f t="shared" si="242"/>
        <v>2.5000000000000001E-2</v>
      </c>
      <c r="G199" s="120">
        <v>2.5000000000000001E-2</v>
      </c>
      <c r="H199" s="120">
        <v>2.5000000000000001E-2</v>
      </c>
      <c r="I199" s="193">
        <v>2.5000000000000001E-2</v>
      </c>
    </row>
    <row r="200" spans="2:9" ht="12.75" customHeight="1" x14ac:dyDescent="0.2">
      <c r="C200" s="23" t="s">
        <v>101</v>
      </c>
      <c r="D200" s="55"/>
      <c r="E200" s="138">
        <f t="shared" si="242"/>
        <v>0.95</v>
      </c>
      <c r="G200" s="44">
        <v>0.95</v>
      </c>
      <c r="H200" s="44">
        <v>0.95</v>
      </c>
      <c r="I200" s="183">
        <v>0.95</v>
      </c>
    </row>
    <row r="201" spans="2:9" ht="12.75" customHeight="1" x14ac:dyDescent="0.2">
      <c r="C201" s="23" t="s">
        <v>71</v>
      </c>
      <c r="D201" s="55" t="s">
        <v>223</v>
      </c>
      <c r="E201" s="60">
        <f t="shared" si="242"/>
        <v>4.8000000000000001E-2</v>
      </c>
      <c r="G201" s="53">
        <f>'Chugach Electric data'!$J$6</f>
        <v>4.8000000000000001E-2</v>
      </c>
      <c r="H201" s="53">
        <f>'Chugach Electric data'!$J$6</f>
        <v>4.8000000000000001E-2</v>
      </c>
      <c r="I201" s="194">
        <f>ROUND('Chugach Electric data'!$I$81,3)*1.024</f>
        <v>4.6079999999999996E-2</v>
      </c>
    </row>
    <row r="202" spans="2:9" ht="12.75" customHeight="1" x14ac:dyDescent="0.2">
      <c r="C202" s="23" t="s">
        <v>614</v>
      </c>
      <c r="D202" s="55"/>
      <c r="E202" s="293" t="str">
        <f t="shared" si="242"/>
        <v>high</v>
      </c>
      <c r="G202" s="53" t="s">
        <v>542</v>
      </c>
      <c r="H202" s="53" t="s">
        <v>543</v>
      </c>
      <c r="I202" s="194"/>
    </row>
    <row r="203" spans="2:9" ht="12.75" customHeight="1" x14ac:dyDescent="0.2">
      <c r="C203" s="23" t="s">
        <v>579</v>
      </c>
      <c r="E203" s="136">
        <f t="shared" si="242"/>
        <v>2</v>
      </c>
      <c r="F203" s="32"/>
      <c r="G203" s="95">
        <v>1</v>
      </c>
      <c r="H203" s="95">
        <v>2</v>
      </c>
      <c r="I203" s="185">
        <v>2</v>
      </c>
    </row>
    <row r="206" spans="2:9" ht="12.75" customHeight="1" x14ac:dyDescent="0.2">
      <c r="D206" s="142"/>
      <c r="E206" s="60"/>
      <c r="F206" s="99"/>
      <c r="G206" s="141"/>
      <c r="H206" s="141"/>
      <c r="I206" s="141"/>
    </row>
    <row r="207" spans="2:9" ht="12.75" customHeight="1" x14ac:dyDescent="0.2">
      <c r="B207" s="28" t="s">
        <v>102</v>
      </c>
      <c r="D207" s="55"/>
      <c r="E207" s="98"/>
      <c r="F207" s="32"/>
      <c r="I207" s="99"/>
    </row>
    <row r="208" spans="2:9" ht="12.75" customHeight="1" x14ac:dyDescent="0.2">
      <c r="B208" s="28" t="s">
        <v>486</v>
      </c>
      <c r="D208" s="55"/>
      <c r="I208" s="99"/>
    </row>
    <row r="209" spans="1:73" ht="12.75" customHeight="1" x14ac:dyDescent="0.25">
      <c r="C209" s="28" t="s">
        <v>521</v>
      </c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1:73" ht="12.75" customHeight="1" x14ac:dyDescent="0.25">
      <c r="C210" s="119"/>
      <c r="D210" s="25"/>
      <c r="E210" s="148">
        <v>2024</v>
      </c>
      <c r="F210" s="119">
        <v>2035</v>
      </c>
      <c r="G210" s="119">
        <v>2050</v>
      </c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1:73" ht="12.75" customHeight="1" x14ac:dyDescent="0.25">
      <c r="C211" s="23" t="s">
        <v>198</v>
      </c>
      <c r="D211" s="113" t="s">
        <v>223</v>
      </c>
      <c r="E211" s="100">
        <f>R267</f>
        <v>0.20717470002689267</v>
      </c>
      <c r="F211" s="100">
        <f>AC267</f>
        <v>0.23338532538101969</v>
      </c>
      <c r="G211" s="101">
        <f>AR267</f>
        <v>0.22011223083264286</v>
      </c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1:73" ht="12.75" customHeight="1" x14ac:dyDescent="0.25">
      <c r="C212" s="73" t="s">
        <v>520</v>
      </c>
      <c r="D212" s="113" t="s">
        <v>223</v>
      </c>
      <c r="E212" s="100">
        <f>R268</f>
        <v>4.8000000000000001E-2</v>
      </c>
      <c r="F212" s="100">
        <f>AC268</f>
        <v>4.8000000000000001E-2</v>
      </c>
      <c r="G212" s="101">
        <f>AR268</f>
        <v>4.8000000000000001E-2</v>
      </c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1:73" ht="12.75" customHeight="1" x14ac:dyDescent="0.25">
      <c r="C213" s="23" t="s">
        <v>507</v>
      </c>
      <c r="D213" s="113" t="s">
        <v>223</v>
      </c>
      <c r="E213" s="100">
        <f>R269</f>
        <v>0.25517470002689269</v>
      </c>
      <c r="F213" s="100">
        <f>AC269</f>
        <v>0.28138532538101968</v>
      </c>
      <c r="G213" s="101">
        <f>AR269</f>
        <v>0.26811223083264285</v>
      </c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1:73" ht="12.75" customHeight="1" x14ac:dyDescent="0.25">
      <c r="B214" s="28"/>
      <c r="E214" s="100"/>
      <c r="F214" s="100"/>
      <c r="G214" s="101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1:73" ht="12.75" customHeight="1" x14ac:dyDescent="0.25">
      <c r="B215" s="28" t="s">
        <v>196</v>
      </c>
      <c r="E215" s="100"/>
      <c r="F215" s="100"/>
      <c r="G215" s="101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1:73" ht="12.75" customHeight="1" x14ac:dyDescent="0.25">
      <c r="B216" s="28"/>
      <c r="E216" s="130" t="s">
        <v>253</v>
      </c>
      <c r="R216" s="23">
        <v>1</v>
      </c>
      <c r="S216" s="23">
        <v>2</v>
      </c>
      <c r="T216" s="23">
        <v>3</v>
      </c>
      <c r="U216" s="23">
        <v>4</v>
      </c>
      <c r="V216" s="23">
        <v>5</v>
      </c>
      <c r="W216" s="23">
        <v>6</v>
      </c>
      <c r="X216" s="23">
        <v>7</v>
      </c>
      <c r="Y216" s="23">
        <v>8</v>
      </c>
      <c r="Z216" s="23">
        <v>9</v>
      </c>
      <c r="AA216" s="23">
        <v>10</v>
      </c>
      <c r="AB216" s="23">
        <v>11</v>
      </c>
      <c r="AC216" s="23">
        <v>12</v>
      </c>
      <c r="AD216" s="23">
        <v>13</v>
      </c>
      <c r="AE216" s="23">
        <v>14</v>
      </c>
      <c r="AF216" s="23">
        <v>15</v>
      </c>
      <c r="AG216" s="23">
        <v>16</v>
      </c>
      <c r="AH216" s="23">
        <v>17</v>
      </c>
      <c r="AI216" s="23">
        <v>18</v>
      </c>
      <c r="AJ216" s="23">
        <v>19</v>
      </c>
      <c r="AK216" s="23">
        <v>20</v>
      </c>
      <c r="AL216" s="23">
        <v>21</v>
      </c>
      <c r="AM216" s="23">
        <v>22</v>
      </c>
      <c r="AN216" s="23">
        <v>23</v>
      </c>
      <c r="AO216" s="23">
        <v>24</v>
      </c>
      <c r="AP216" s="23">
        <v>25</v>
      </c>
      <c r="AQ216" s="23">
        <v>26</v>
      </c>
      <c r="AR216" s="23">
        <v>27</v>
      </c>
      <c r="AS216" s="23">
        <v>28</v>
      </c>
      <c r="AT216" s="23">
        <v>29</v>
      </c>
      <c r="AU216" s="23">
        <v>30</v>
      </c>
      <c r="AV216" s="23">
        <v>31</v>
      </c>
      <c r="AW216" s="23">
        <v>32</v>
      </c>
      <c r="AX216" s="23">
        <v>33</v>
      </c>
      <c r="AY216" s="23">
        <v>34</v>
      </c>
      <c r="AZ216" s="23">
        <v>35</v>
      </c>
      <c r="BA216" s="23">
        <v>36</v>
      </c>
      <c r="BB216" s="23">
        <v>37</v>
      </c>
      <c r="BC216" s="23">
        <v>38</v>
      </c>
      <c r="BD216" s="23">
        <v>39</v>
      </c>
      <c r="BE216" s="23">
        <v>40</v>
      </c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1:73" ht="12.75" customHeight="1" x14ac:dyDescent="0.25">
      <c r="A217" s="28"/>
      <c r="E217" s="23" t="s">
        <v>23</v>
      </c>
      <c r="F217" s="23">
        <v>0</v>
      </c>
      <c r="G217" s="23">
        <v>1</v>
      </c>
      <c r="H217" s="23">
        <v>2</v>
      </c>
      <c r="I217" s="23">
        <v>3</v>
      </c>
      <c r="J217" s="23">
        <v>4</v>
      </c>
      <c r="K217" s="23">
        <v>5</v>
      </c>
      <c r="L217" s="23">
        <v>6</v>
      </c>
      <c r="M217" s="23">
        <v>7</v>
      </c>
      <c r="N217" s="23">
        <v>8</v>
      </c>
      <c r="O217" s="23">
        <v>9</v>
      </c>
      <c r="P217" s="23">
        <v>10</v>
      </c>
      <c r="Q217" s="23">
        <v>11</v>
      </c>
      <c r="R217" s="23">
        <v>12</v>
      </c>
      <c r="S217" s="23">
        <v>13</v>
      </c>
      <c r="T217" s="23">
        <v>14</v>
      </c>
      <c r="U217" s="23">
        <v>15</v>
      </c>
      <c r="V217" s="23">
        <v>16</v>
      </c>
      <c r="W217" s="23">
        <v>17</v>
      </c>
      <c r="X217" s="23">
        <v>18</v>
      </c>
      <c r="Y217" s="23">
        <v>19</v>
      </c>
      <c r="Z217" s="23">
        <v>20</v>
      </c>
      <c r="AA217" s="23">
        <v>21</v>
      </c>
      <c r="AB217" s="23">
        <v>22</v>
      </c>
      <c r="AC217" s="23">
        <v>23</v>
      </c>
      <c r="AD217" s="23">
        <v>24</v>
      </c>
      <c r="AE217" s="23">
        <v>25</v>
      </c>
      <c r="AF217" s="23">
        <v>26</v>
      </c>
      <c r="AG217" s="23">
        <v>27</v>
      </c>
      <c r="AH217" s="23">
        <v>28</v>
      </c>
      <c r="AI217" s="23">
        <v>29</v>
      </c>
      <c r="AJ217" s="23">
        <v>30</v>
      </c>
      <c r="AK217" s="23">
        <v>31</v>
      </c>
      <c r="AL217" s="23">
        <v>32</v>
      </c>
      <c r="AM217" s="23">
        <v>33</v>
      </c>
      <c r="AN217" s="23">
        <v>34</v>
      </c>
      <c r="AO217" s="23">
        <v>35</v>
      </c>
      <c r="AP217" s="23">
        <v>36</v>
      </c>
      <c r="AQ217" s="23">
        <v>37</v>
      </c>
      <c r="AR217" s="23">
        <v>38</v>
      </c>
      <c r="AS217" s="23">
        <v>39</v>
      </c>
      <c r="AT217" s="23">
        <v>40</v>
      </c>
      <c r="AU217" s="23">
        <v>41</v>
      </c>
      <c r="AV217" s="23">
        <v>42</v>
      </c>
      <c r="AW217" s="23">
        <v>43</v>
      </c>
      <c r="AX217" s="23">
        <v>44</v>
      </c>
      <c r="AY217" s="23">
        <v>45</v>
      </c>
      <c r="AZ217" s="23">
        <v>46</v>
      </c>
      <c r="BA217" s="23">
        <v>47</v>
      </c>
      <c r="BB217" s="23">
        <v>48</v>
      </c>
      <c r="BC217" s="23">
        <v>49</v>
      </c>
      <c r="BD217" s="23">
        <v>50</v>
      </c>
      <c r="BE217" s="23">
        <v>51</v>
      </c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1:73" ht="12.75" customHeight="1" x14ac:dyDescent="0.25">
      <c r="A218" s="28"/>
      <c r="C218" s="24" t="s">
        <v>10</v>
      </c>
      <c r="D218" s="24" t="s">
        <v>19</v>
      </c>
      <c r="E218" s="24" t="s">
        <v>22</v>
      </c>
      <c r="F218" s="86">
        <v>2012</v>
      </c>
      <c r="G218" s="25">
        <f t="shared" ref="G218:AL218" si="245">F218+1</f>
        <v>2013</v>
      </c>
      <c r="H218" s="25">
        <f t="shared" si="245"/>
        <v>2014</v>
      </c>
      <c r="I218" s="25">
        <f t="shared" si="245"/>
        <v>2015</v>
      </c>
      <c r="J218" s="25">
        <f t="shared" si="245"/>
        <v>2016</v>
      </c>
      <c r="K218" s="25">
        <f t="shared" si="245"/>
        <v>2017</v>
      </c>
      <c r="L218" s="25">
        <f t="shared" si="245"/>
        <v>2018</v>
      </c>
      <c r="M218" s="25">
        <f t="shared" si="245"/>
        <v>2019</v>
      </c>
      <c r="N218" s="25">
        <f t="shared" si="245"/>
        <v>2020</v>
      </c>
      <c r="O218" s="25">
        <f t="shared" si="245"/>
        <v>2021</v>
      </c>
      <c r="P218" s="25">
        <f t="shared" si="245"/>
        <v>2022</v>
      </c>
      <c r="Q218" s="25">
        <f t="shared" si="245"/>
        <v>2023</v>
      </c>
      <c r="R218" s="25">
        <f t="shared" si="245"/>
        <v>2024</v>
      </c>
      <c r="S218" s="25">
        <f t="shared" si="245"/>
        <v>2025</v>
      </c>
      <c r="T218" s="25">
        <f t="shared" si="245"/>
        <v>2026</v>
      </c>
      <c r="U218" s="25">
        <f t="shared" si="245"/>
        <v>2027</v>
      </c>
      <c r="V218" s="25">
        <f t="shared" si="245"/>
        <v>2028</v>
      </c>
      <c r="W218" s="25">
        <f t="shared" si="245"/>
        <v>2029</v>
      </c>
      <c r="X218" s="25">
        <f t="shared" si="245"/>
        <v>2030</v>
      </c>
      <c r="Y218" s="25">
        <f t="shared" si="245"/>
        <v>2031</v>
      </c>
      <c r="Z218" s="25">
        <f t="shared" si="245"/>
        <v>2032</v>
      </c>
      <c r="AA218" s="25">
        <f t="shared" si="245"/>
        <v>2033</v>
      </c>
      <c r="AB218" s="25">
        <f t="shared" si="245"/>
        <v>2034</v>
      </c>
      <c r="AC218" s="25">
        <f t="shared" si="245"/>
        <v>2035</v>
      </c>
      <c r="AD218" s="25">
        <f t="shared" si="245"/>
        <v>2036</v>
      </c>
      <c r="AE218" s="25">
        <f t="shared" si="245"/>
        <v>2037</v>
      </c>
      <c r="AF218" s="25">
        <f t="shared" si="245"/>
        <v>2038</v>
      </c>
      <c r="AG218" s="25">
        <f t="shared" si="245"/>
        <v>2039</v>
      </c>
      <c r="AH218" s="25">
        <f t="shared" si="245"/>
        <v>2040</v>
      </c>
      <c r="AI218" s="25">
        <f t="shared" si="245"/>
        <v>2041</v>
      </c>
      <c r="AJ218" s="25">
        <f t="shared" si="245"/>
        <v>2042</v>
      </c>
      <c r="AK218" s="25">
        <f t="shared" si="245"/>
        <v>2043</v>
      </c>
      <c r="AL218" s="25">
        <f t="shared" si="245"/>
        <v>2044</v>
      </c>
      <c r="AM218" s="25">
        <f t="shared" ref="AM218:BE218" si="246">AL218+1</f>
        <v>2045</v>
      </c>
      <c r="AN218" s="25">
        <f t="shared" si="246"/>
        <v>2046</v>
      </c>
      <c r="AO218" s="25">
        <f t="shared" si="246"/>
        <v>2047</v>
      </c>
      <c r="AP218" s="25">
        <f t="shared" si="246"/>
        <v>2048</v>
      </c>
      <c r="AQ218" s="25">
        <f t="shared" si="246"/>
        <v>2049</v>
      </c>
      <c r="AR218" s="25">
        <f t="shared" si="246"/>
        <v>2050</v>
      </c>
      <c r="AS218" s="25">
        <f t="shared" si="246"/>
        <v>2051</v>
      </c>
      <c r="AT218" s="25">
        <f t="shared" si="246"/>
        <v>2052</v>
      </c>
      <c r="AU218" s="25">
        <f t="shared" si="246"/>
        <v>2053</v>
      </c>
      <c r="AV218" s="25">
        <f t="shared" si="246"/>
        <v>2054</v>
      </c>
      <c r="AW218" s="25">
        <f t="shared" si="246"/>
        <v>2055</v>
      </c>
      <c r="AX218" s="25">
        <f t="shared" si="246"/>
        <v>2056</v>
      </c>
      <c r="AY218" s="25">
        <f t="shared" si="246"/>
        <v>2057</v>
      </c>
      <c r="AZ218" s="25">
        <f t="shared" si="246"/>
        <v>2058</v>
      </c>
      <c r="BA218" s="25">
        <f t="shared" si="246"/>
        <v>2059</v>
      </c>
      <c r="BB218" s="25">
        <f t="shared" si="246"/>
        <v>2060</v>
      </c>
      <c r="BC218" s="25">
        <f t="shared" si="246"/>
        <v>2061</v>
      </c>
      <c r="BD218" s="25">
        <f t="shared" si="246"/>
        <v>2062</v>
      </c>
      <c r="BE218" s="25">
        <f t="shared" si="246"/>
        <v>2063</v>
      </c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1:73" ht="12.75" customHeight="1" x14ac:dyDescent="0.25">
      <c r="A219" s="28"/>
      <c r="C219" s="83"/>
      <c r="D219" s="83"/>
      <c r="E219" s="83"/>
      <c r="F219" s="87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1:73" ht="12.75" customHeight="1" x14ac:dyDescent="0.25">
      <c r="A220" s="28"/>
      <c r="B220" s="17" t="s">
        <v>222</v>
      </c>
      <c r="D220" s="83"/>
      <c r="E220" s="83"/>
      <c r="F220" s="87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1:73" ht="12.75" customHeight="1" x14ac:dyDescent="0.25">
      <c r="A221" s="28"/>
      <c r="C221" s="23" t="str">
        <f>"Inflation index @ "&amp;E199*100&amp;"% per yr"</f>
        <v>Inflation index @ 2.5% per yr</v>
      </c>
      <c r="D221" s="83"/>
      <c r="E221" s="92"/>
      <c r="F221" s="92">
        <f t="shared" ref="F221:AK221" si="247">(1+$E$199)^(F218-$F$218)</f>
        <v>1</v>
      </c>
      <c r="G221" s="92">
        <f t="shared" si="247"/>
        <v>1.0249999999999999</v>
      </c>
      <c r="H221" s="92">
        <f t="shared" si="247"/>
        <v>1.0506249999999999</v>
      </c>
      <c r="I221" s="92">
        <f t="shared" si="247"/>
        <v>1.0768906249999999</v>
      </c>
      <c r="J221" s="92">
        <f t="shared" si="247"/>
        <v>1.1038128906249998</v>
      </c>
      <c r="K221" s="92">
        <f t="shared" si="247"/>
        <v>1.1314082128906247</v>
      </c>
      <c r="L221" s="92">
        <f t="shared" si="247"/>
        <v>1.1596934182128902</v>
      </c>
      <c r="M221" s="92">
        <f t="shared" si="247"/>
        <v>1.1886857536682125</v>
      </c>
      <c r="N221" s="92">
        <f t="shared" si="247"/>
        <v>1.2184028975099177</v>
      </c>
      <c r="O221" s="92">
        <f t="shared" si="247"/>
        <v>1.2488629699476654</v>
      </c>
      <c r="P221" s="92">
        <f t="shared" si="247"/>
        <v>1.2800845441963571</v>
      </c>
      <c r="Q221" s="92">
        <f t="shared" si="247"/>
        <v>1.312086657801266</v>
      </c>
      <c r="R221" s="92">
        <f t="shared" si="247"/>
        <v>1.3448888242462975</v>
      </c>
      <c r="S221" s="92">
        <f t="shared" si="247"/>
        <v>1.3785110448524549</v>
      </c>
      <c r="T221" s="92">
        <f t="shared" si="247"/>
        <v>1.4129738209737661</v>
      </c>
      <c r="U221" s="92">
        <f t="shared" si="247"/>
        <v>1.4482981664981105</v>
      </c>
      <c r="V221" s="92">
        <f t="shared" si="247"/>
        <v>1.4845056206605631</v>
      </c>
      <c r="W221" s="92">
        <f t="shared" si="247"/>
        <v>1.521618261177077</v>
      </c>
      <c r="X221" s="92">
        <f t="shared" si="247"/>
        <v>1.559658717706504</v>
      </c>
      <c r="Y221" s="92">
        <f t="shared" si="247"/>
        <v>1.5986501856491666</v>
      </c>
      <c r="Z221" s="92">
        <f t="shared" si="247"/>
        <v>1.6386164402903955</v>
      </c>
      <c r="AA221" s="92">
        <f t="shared" si="247"/>
        <v>1.6795818512976552</v>
      </c>
      <c r="AB221" s="92">
        <f t="shared" si="247"/>
        <v>1.7215713975800966</v>
      </c>
      <c r="AC221" s="92">
        <f t="shared" si="247"/>
        <v>1.7646106825195991</v>
      </c>
      <c r="AD221" s="92">
        <f t="shared" si="247"/>
        <v>1.8087259495825889</v>
      </c>
      <c r="AE221" s="92">
        <f t="shared" si="247"/>
        <v>1.8539440983221533</v>
      </c>
      <c r="AF221" s="92">
        <f t="shared" si="247"/>
        <v>1.9002927007802071</v>
      </c>
      <c r="AG221" s="92">
        <f t="shared" si="247"/>
        <v>1.9478000182997122</v>
      </c>
      <c r="AH221" s="92">
        <f t="shared" si="247"/>
        <v>1.9964950187572048</v>
      </c>
      <c r="AI221" s="92">
        <f t="shared" si="247"/>
        <v>2.0464073942261352</v>
      </c>
      <c r="AJ221" s="92">
        <f t="shared" si="247"/>
        <v>2.097567579081788</v>
      </c>
      <c r="AK221" s="92">
        <f t="shared" si="247"/>
        <v>2.1500067685588333</v>
      </c>
      <c r="AL221" s="92">
        <f t="shared" ref="AL221:BE221" si="248">(1+$E$199)^(AL218-$F$218)</f>
        <v>2.2037569377728037</v>
      </c>
      <c r="AM221" s="92">
        <f t="shared" si="248"/>
        <v>2.2588508612171236</v>
      </c>
      <c r="AN221" s="92">
        <f t="shared" si="248"/>
        <v>2.3153221327475517</v>
      </c>
      <c r="AO221" s="92">
        <f t="shared" si="248"/>
        <v>2.3732051860662402</v>
      </c>
      <c r="AP221" s="92">
        <f t="shared" si="248"/>
        <v>2.4325353157178964</v>
      </c>
      <c r="AQ221" s="92">
        <f t="shared" si="248"/>
        <v>2.4933486986108435</v>
      </c>
      <c r="AR221" s="92">
        <f t="shared" si="248"/>
        <v>2.555682416076114</v>
      </c>
      <c r="AS221" s="92">
        <f t="shared" si="248"/>
        <v>2.6195744764780171</v>
      </c>
      <c r="AT221" s="92">
        <f t="shared" si="248"/>
        <v>2.6850638383899672</v>
      </c>
      <c r="AU221" s="92">
        <f t="shared" si="248"/>
        <v>2.7521904343497163</v>
      </c>
      <c r="AV221" s="92">
        <f t="shared" si="248"/>
        <v>2.8209951952084591</v>
      </c>
      <c r="AW221" s="92">
        <f t="shared" si="248"/>
        <v>2.8915200750886707</v>
      </c>
      <c r="AX221" s="92">
        <f t="shared" si="248"/>
        <v>2.9638080769658868</v>
      </c>
      <c r="AY221" s="92">
        <f t="shared" si="248"/>
        <v>3.0379032788900342</v>
      </c>
      <c r="AZ221" s="92">
        <f t="shared" si="248"/>
        <v>3.1138508608622844</v>
      </c>
      <c r="BA221" s="92">
        <f t="shared" si="248"/>
        <v>3.1916971323838421</v>
      </c>
      <c r="BB221" s="92">
        <f t="shared" si="248"/>
        <v>3.2714895606934378</v>
      </c>
      <c r="BC221" s="92">
        <f t="shared" si="248"/>
        <v>3.3532767997107733</v>
      </c>
      <c r="BD221" s="92">
        <f t="shared" si="248"/>
        <v>3.4371087197035428</v>
      </c>
      <c r="BE221" s="92">
        <f t="shared" si="248"/>
        <v>3.5230364376961316</v>
      </c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1:73" ht="12.75" customHeight="1" x14ac:dyDescent="0.25">
      <c r="A222" s="28"/>
      <c r="D222" s="83"/>
      <c r="E222" s="83"/>
      <c r="F222" s="87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1:73" ht="12.75" customHeight="1" x14ac:dyDescent="0.25">
      <c r="A223" s="28"/>
      <c r="B223" s="28" t="s">
        <v>18</v>
      </c>
      <c r="C223" s="27"/>
      <c r="D223" s="27"/>
      <c r="E223" s="83"/>
      <c r="F223" s="87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1:73" ht="12.75" customHeight="1" x14ac:dyDescent="0.25">
      <c r="A224" s="28"/>
      <c r="C224" s="27" t="s">
        <v>24</v>
      </c>
      <c r="D224" s="27" t="s">
        <v>77</v>
      </c>
      <c r="E224" s="93">
        <f>SUM(F224:Q224)</f>
        <v>1</v>
      </c>
      <c r="F224" s="84"/>
      <c r="G224" s="84"/>
      <c r="H224" s="84"/>
      <c r="I224" s="84"/>
      <c r="J224" s="84"/>
      <c r="K224" s="84"/>
      <c r="L224" s="84"/>
      <c r="M224" s="84"/>
      <c r="N224" s="224">
        <v>0.25</v>
      </c>
      <c r="O224" s="224">
        <v>0.25</v>
      </c>
      <c r="P224" s="224">
        <v>0.25</v>
      </c>
      <c r="Q224" s="224">
        <v>0.25</v>
      </c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1:73" ht="12.75" customHeight="1" x14ac:dyDescent="0.25">
      <c r="A225" s="28"/>
      <c r="C225" s="27" t="s">
        <v>25</v>
      </c>
      <c r="D225" s="27" t="s">
        <v>491</v>
      </c>
      <c r="E225" s="83"/>
      <c r="F225" s="94">
        <f t="shared" ref="F225:AU225" si="249">F224*F221*$E$185</f>
        <v>0</v>
      </c>
      <c r="G225" s="94">
        <f t="shared" si="249"/>
        <v>0</v>
      </c>
      <c r="H225" s="94">
        <f t="shared" si="249"/>
        <v>0</v>
      </c>
      <c r="I225" s="94">
        <f t="shared" si="249"/>
        <v>0</v>
      </c>
      <c r="J225" s="94">
        <f t="shared" si="249"/>
        <v>0</v>
      </c>
      <c r="K225" s="94">
        <f t="shared" si="249"/>
        <v>0</v>
      </c>
      <c r="L225" s="94">
        <f t="shared" si="249"/>
        <v>0</v>
      </c>
      <c r="M225" s="94">
        <f t="shared" si="249"/>
        <v>0</v>
      </c>
      <c r="N225" s="94">
        <f t="shared" si="249"/>
        <v>0.10965626077589259</v>
      </c>
      <c r="O225" s="94">
        <f t="shared" si="249"/>
        <v>0.11239766729528988</v>
      </c>
      <c r="P225" s="94">
        <f t="shared" si="249"/>
        <v>0.11520760897767213</v>
      </c>
      <c r="Q225" s="94">
        <f t="shared" si="249"/>
        <v>0.11808779920211393</v>
      </c>
      <c r="R225" s="94">
        <f t="shared" si="249"/>
        <v>0</v>
      </c>
      <c r="S225" s="94">
        <f t="shared" si="249"/>
        <v>0</v>
      </c>
      <c r="T225" s="94">
        <f t="shared" si="249"/>
        <v>0</v>
      </c>
      <c r="U225" s="94">
        <f t="shared" si="249"/>
        <v>0</v>
      </c>
      <c r="V225" s="94">
        <f t="shared" si="249"/>
        <v>0</v>
      </c>
      <c r="W225" s="94">
        <f t="shared" si="249"/>
        <v>0</v>
      </c>
      <c r="X225" s="94">
        <f t="shared" si="249"/>
        <v>0</v>
      </c>
      <c r="Y225" s="94">
        <f t="shared" si="249"/>
        <v>0</v>
      </c>
      <c r="Z225" s="94">
        <f t="shared" si="249"/>
        <v>0</v>
      </c>
      <c r="AA225" s="94">
        <f t="shared" si="249"/>
        <v>0</v>
      </c>
      <c r="AB225" s="94">
        <f t="shared" si="249"/>
        <v>0</v>
      </c>
      <c r="AC225" s="94">
        <f t="shared" si="249"/>
        <v>0</v>
      </c>
      <c r="AD225" s="94">
        <f t="shared" si="249"/>
        <v>0</v>
      </c>
      <c r="AE225" s="94">
        <f t="shared" si="249"/>
        <v>0</v>
      </c>
      <c r="AF225" s="94">
        <f t="shared" si="249"/>
        <v>0</v>
      </c>
      <c r="AG225" s="94">
        <f t="shared" si="249"/>
        <v>0</v>
      </c>
      <c r="AH225" s="94">
        <f t="shared" si="249"/>
        <v>0</v>
      </c>
      <c r="AI225" s="94">
        <f t="shared" si="249"/>
        <v>0</v>
      </c>
      <c r="AJ225" s="94">
        <f t="shared" si="249"/>
        <v>0</v>
      </c>
      <c r="AK225" s="94">
        <f t="shared" si="249"/>
        <v>0</v>
      </c>
      <c r="AL225" s="94">
        <f t="shared" si="249"/>
        <v>0</v>
      </c>
      <c r="AM225" s="94">
        <f t="shared" si="249"/>
        <v>0</v>
      </c>
      <c r="AN225" s="94">
        <f t="shared" si="249"/>
        <v>0</v>
      </c>
      <c r="AO225" s="94">
        <f t="shared" si="249"/>
        <v>0</v>
      </c>
      <c r="AP225" s="94">
        <f t="shared" si="249"/>
        <v>0</v>
      </c>
      <c r="AQ225" s="94">
        <f t="shared" si="249"/>
        <v>0</v>
      </c>
      <c r="AR225" s="94">
        <f t="shared" si="249"/>
        <v>0</v>
      </c>
      <c r="AS225" s="94">
        <f t="shared" si="249"/>
        <v>0</v>
      </c>
      <c r="AT225" s="94">
        <f t="shared" si="249"/>
        <v>0</v>
      </c>
      <c r="AU225" s="94">
        <f t="shared" si="249"/>
        <v>0</v>
      </c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1:73" ht="12.75" customHeight="1" x14ac:dyDescent="0.25">
      <c r="A226" s="28"/>
      <c r="C226" s="38" t="s">
        <v>80</v>
      </c>
      <c r="D226" s="27" t="s">
        <v>491</v>
      </c>
      <c r="E226" s="83"/>
      <c r="F226" s="94">
        <f t="shared" ref="F226:AK226" si="250">F225*$E$190</f>
        <v>0</v>
      </c>
      <c r="G226" s="94">
        <f t="shared" si="250"/>
        <v>0</v>
      </c>
      <c r="H226" s="94">
        <f t="shared" si="250"/>
        <v>0</v>
      </c>
      <c r="I226" s="94">
        <f t="shared" si="250"/>
        <v>0</v>
      </c>
      <c r="J226" s="94">
        <f t="shared" si="250"/>
        <v>0</v>
      </c>
      <c r="K226" s="94">
        <f t="shared" si="250"/>
        <v>0</v>
      </c>
      <c r="L226" s="94">
        <f t="shared" si="250"/>
        <v>0</v>
      </c>
      <c r="M226" s="94">
        <f t="shared" si="250"/>
        <v>0</v>
      </c>
      <c r="N226" s="94">
        <f t="shared" si="250"/>
        <v>0.10965626077589259</v>
      </c>
      <c r="O226" s="94">
        <f t="shared" si="250"/>
        <v>0.11239766729528988</v>
      </c>
      <c r="P226" s="94">
        <f t="shared" si="250"/>
        <v>0.11520760897767213</v>
      </c>
      <c r="Q226" s="94">
        <f t="shared" si="250"/>
        <v>0.11808779920211393</v>
      </c>
      <c r="R226" s="94">
        <f t="shared" si="250"/>
        <v>0</v>
      </c>
      <c r="S226" s="94">
        <f t="shared" si="250"/>
        <v>0</v>
      </c>
      <c r="T226" s="94">
        <f t="shared" si="250"/>
        <v>0</v>
      </c>
      <c r="U226" s="94">
        <f t="shared" si="250"/>
        <v>0</v>
      </c>
      <c r="V226" s="94">
        <f t="shared" si="250"/>
        <v>0</v>
      </c>
      <c r="W226" s="94">
        <f t="shared" si="250"/>
        <v>0</v>
      </c>
      <c r="X226" s="94">
        <f t="shared" si="250"/>
        <v>0</v>
      </c>
      <c r="Y226" s="94">
        <f t="shared" si="250"/>
        <v>0</v>
      </c>
      <c r="Z226" s="94">
        <f t="shared" si="250"/>
        <v>0</v>
      </c>
      <c r="AA226" s="94">
        <f t="shared" si="250"/>
        <v>0</v>
      </c>
      <c r="AB226" s="94">
        <f t="shared" si="250"/>
        <v>0</v>
      </c>
      <c r="AC226" s="94">
        <f t="shared" si="250"/>
        <v>0</v>
      </c>
      <c r="AD226" s="94">
        <f t="shared" si="250"/>
        <v>0</v>
      </c>
      <c r="AE226" s="94">
        <f t="shared" si="250"/>
        <v>0</v>
      </c>
      <c r="AF226" s="94">
        <f t="shared" si="250"/>
        <v>0</v>
      </c>
      <c r="AG226" s="94">
        <f t="shared" si="250"/>
        <v>0</v>
      </c>
      <c r="AH226" s="94">
        <f t="shared" si="250"/>
        <v>0</v>
      </c>
      <c r="AI226" s="94">
        <f t="shared" si="250"/>
        <v>0</v>
      </c>
      <c r="AJ226" s="94">
        <f t="shared" si="250"/>
        <v>0</v>
      </c>
      <c r="AK226" s="94">
        <f t="shared" si="250"/>
        <v>0</v>
      </c>
      <c r="AL226" s="94">
        <f t="shared" ref="AL226:AU226" si="251">AL225*$E$190</f>
        <v>0</v>
      </c>
      <c r="AM226" s="94">
        <f t="shared" si="251"/>
        <v>0</v>
      </c>
      <c r="AN226" s="94">
        <f t="shared" si="251"/>
        <v>0</v>
      </c>
      <c r="AO226" s="94">
        <f t="shared" si="251"/>
        <v>0</v>
      </c>
      <c r="AP226" s="94">
        <f t="shared" si="251"/>
        <v>0</v>
      </c>
      <c r="AQ226" s="94">
        <f t="shared" si="251"/>
        <v>0</v>
      </c>
      <c r="AR226" s="94">
        <f t="shared" si="251"/>
        <v>0</v>
      </c>
      <c r="AS226" s="94">
        <f t="shared" si="251"/>
        <v>0</v>
      </c>
      <c r="AT226" s="94">
        <f t="shared" si="251"/>
        <v>0</v>
      </c>
      <c r="AU226" s="94">
        <f t="shared" si="251"/>
        <v>0</v>
      </c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1:73" ht="12.75" customHeight="1" x14ac:dyDescent="0.25">
      <c r="A227" s="28"/>
      <c r="C227" s="38" t="s">
        <v>81</v>
      </c>
      <c r="D227" s="27" t="s">
        <v>491</v>
      </c>
      <c r="E227" s="83"/>
      <c r="F227" s="94">
        <f t="shared" ref="F227:AK227" si="252">F225*$E$191</f>
        <v>0</v>
      </c>
      <c r="G227" s="94">
        <f t="shared" si="252"/>
        <v>0</v>
      </c>
      <c r="H227" s="94">
        <f t="shared" si="252"/>
        <v>0</v>
      </c>
      <c r="I227" s="94">
        <f t="shared" si="252"/>
        <v>0</v>
      </c>
      <c r="J227" s="94">
        <f t="shared" si="252"/>
        <v>0</v>
      </c>
      <c r="K227" s="94">
        <f t="shared" si="252"/>
        <v>0</v>
      </c>
      <c r="L227" s="94">
        <f t="shared" si="252"/>
        <v>0</v>
      </c>
      <c r="M227" s="94">
        <f t="shared" si="252"/>
        <v>0</v>
      </c>
      <c r="N227" s="94">
        <f t="shared" si="252"/>
        <v>0</v>
      </c>
      <c r="O227" s="94">
        <f t="shared" si="252"/>
        <v>0</v>
      </c>
      <c r="P227" s="94">
        <f t="shared" si="252"/>
        <v>0</v>
      </c>
      <c r="Q227" s="94">
        <f t="shared" si="252"/>
        <v>0</v>
      </c>
      <c r="R227" s="94">
        <f t="shared" si="252"/>
        <v>0</v>
      </c>
      <c r="S227" s="94">
        <f t="shared" si="252"/>
        <v>0</v>
      </c>
      <c r="T227" s="94">
        <f t="shared" si="252"/>
        <v>0</v>
      </c>
      <c r="U227" s="94">
        <f t="shared" si="252"/>
        <v>0</v>
      </c>
      <c r="V227" s="94">
        <f t="shared" si="252"/>
        <v>0</v>
      </c>
      <c r="W227" s="94">
        <f t="shared" si="252"/>
        <v>0</v>
      </c>
      <c r="X227" s="94">
        <f t="shared" si="252"/>
        <v>0</v>
      </c>
      <c r="Y227" s="94">
        <f t="shared" si="252"/>
        <v>0</v>
      </c>
      <c r="Z227" s="94">
        <f t="shared" si="252"/>
        <v>0</v>
      </c>
      <c r="AA227" s="94">
        <f t="shared" si="252"/>
        <v>0</v>
      </c>
      <c r="AB227" s="94">
        <f t="shared" si="252"/>
        <v>0</v>
      </c>
      <c r="AC227" s="94">
        <f t="shared" si="252"/>
        <v>0</v>
      </c>
      <c r="AD227" s="94">
        <f t="shared" si="252"/>
        <v>0</v>
      </c>
      <c r="AE227" s="94">
        <f t="shared" si="252"/>
        <v>0</v>
      </c>
      <c r="AF227" s="94">
        <f t="shared" si="252"/>
        <v>0</v>
      </c>
      <c r="AG227" s="94">
        <f t="shared" si="252"/>
        <v>0</v>
      </c>
      <c r="AH227" s="94">
        <f t="shared" si="252"/>
        <v>0</v>
      </c>
      <c r="AI227" s="94">
        <f t="shared" si="252"/>
        <v>0</v>
      </c>
      <c r="AJ227" s="94">
        <f t="shared" si="252"/>
        <v>0</v>
      </c>
      <c r="AK227" s="94">
        <f t="shared" si="252"/>
        <v>0</v>
      </c>
      <c r="AL227" s="94">
        <f t="shared" ref="AL227:AU227" si="253">AL225*$E$191</f>
        <v>0</v>
      </c>
      <c r="AM227" s="94">
        <f t="shared" si="253"/>
        <v>0</v>
      </c>
      <c r="AN227" s="94">
        <f t="shared" si="253"/>
        <v>0</v>
      </c>
      <c r="AO227" s="94">
        <f t="shared" si="253"/>
        <v>0</v>
      </c>
      <c r="AP227" s="94">
        <f t="shared" si="253"/>
        <v>0</v>
      </c>
      <c r="AQ227" s="94">
        <f t="shared" si="253"/>
        <v>0</v>
      </c>
      <c r="AR227" s="94">
        <f t="shared" si="253"/>
        <v>0</v>
      </c>
      <c r="AS227" s="94">
        <f t="shared" si="253"/>
        <v>0</v>
      </c>
      <c r="AT227" s="94">
        <f t="shared" si="253"/>
        <v>0</v>
      </c>
      <c r="AU227" s="94">
        <f t="shared" si="253"/>
        <v>0</v>
      </c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1:73" ht="12.75" customHeight="1" x14ac:dyDescent="0.25">
      <c r="A228" s="28"/>
      <c r="C228" s="27" t="s">
        <v>28</v>
      </c>
      <c r="D228" s="27" t="s">
        <v>491</v>
      </c>
      <c r="E228" s="83"/>
      <c r="F228" s="58">
        <f>0</f>
        <v>0</v>
      </c>
      <c r="G228" s="58">
        <f>F231</f>
        <v>0</v>
      </c>
      <c r="H228" s="58">
        <f t="shared" ref="H228:Q228" si="254">G231</f>
        <v>0</v>
      </c>
      <c r="I228" s="58">
        <f t="shared" si="254"/>
        <v>0</v>
      </c>
      <c r="J228" s="58">
        <f t="shared" si="254"/>
        <v>0</v>
      </c>
      <c r="K228" s="58">
        <f t="shared" si="254"/>
        <v>0</v>
      </c>
      <c r="L228" s="58">
        <f t="shared" si="254"/>
        <v>0</v>
      </c>
      <c r="M228" s="58">
        <f t="shared" si="254"/>
        <v>0</v>
      </c>
      <c r="N228" s="58">
        <f t="shared" si="254"/>
        <v>0</v>
      </c>
      <c r="O228" s="58">
        <f t="shared" si="254"/>
        <v>0.10965626077589259</v>
      </c>
      <c r="P228" s="58">
        <f t="shared" si="254"/>
        <v>0.22863330371773605</v>
      </c>
      <c r="Q228" s="58">
        <f t="shared" si="254"/>
        <v>0.35755891091847236</v>
      </c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1:73" ht="12.75" customHeight="1" x14ac:dyDescent="0.25">
      <c r="C229" s="27" t="s">
        <v>27</v>
      </c>
      <c r="D229" s="27" t="s">
        <v>491</v>
      </c>
      <c r="F229" s="58">
        <f>F228*$E$195</f>
        <v>0</v>
      </c>
      <c r="G229" s="58">
        <f t="shared" ref="G229:Q229" si="255">G228*$E$195</f>
        <v>0</v>
      </c>
      <c r="H229" s="58">
        <f t="shared" si="255"/>
        <v>0</v>
      </c>
      <c r="I229" s="58">
        <f t="shared" si="255"/>
        <v>0</v>
      </c>
      <c r="J229" s="58">
        <f t="shared" si="255"/>
        <v>0</v>
      </c>
      <c r="K229" s="58">
        <f t="shared" si="255"/>
        <v>0</v>
      </c>
      <c r="L229" s="58">
        <f t="shared" si="255"/>
        <v>0</v>
      </c>
      <c r="M229" s="58">
        <f t="shared" si="255"/>
        <v>0</v>
      </c>
      <c r="N229" s="58">
        <f t="shared" si="255"/>
        <v>0</v>
      </c>
      <c r="O229" s="58">
        <f t="shared" si="255"/>
        <v>6.5793756465535556E-3</v>
      </c>
      <c r="P229" s="58">
        <f t="shared" si="255"/>
        <v>1.3717998223064163E-2</v>
      </c>
      <c r="Q229" s="58">
        <f t="shared" si="255"/>
        <v>2.1453534655108342E-2</v>
      </c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1:73" ht="12.75" customHeight="1" x14ac:dyDescent="0.25">
      <c r="C230" s="27" t="s">
        <v>30</v>
      </c>
      <c r="D230" s="27" t="s">
        <v>491</v>
      </c>
      <c r="F230" s="58">
        <f>F226</f>
        <v>0</v>
      </c>
      <c r="G230" s="58">
        <f>G226</f>
        <v>0</v>
      </c>
      <c r="H230" s="58">
        <f t="shared" ref="H230:Q230" si="256">H226</f>
        <v>0</v>
      </c>
      <c r="I230" s="58">
        <f t="shared" si="256"/>
        <v>0</v>
      </c>
      <c r="J230" s="58">
        <f t="shared" si="256"/>
        <v>0</v>
      </c>
      <c r="K230" s="58">
        <f t="shared" si="256"/>
        <v>0</v>
      </c>
      <c r="L230" s="58">
        <f t="shared" si="256"/>
        <v>0</v>
      </c>
      <c r="M230" s="58">
        <f t="shared" si="256"/>
        <v>0</v>
      </c>
      <c r="N230" s="58">
        <f t="shared" si="256"/>
        <v>0.10965626077589259</v>
      </c>
      <c r="O230" s="58">
        <f t="shared" si="256"/>
        <v>0.11239766729528988</v>
      </c>
      <c r="P230" s="58">
        <f t="shared" si="256"/>
        <v>0.11520760897767213</v>
      </c>
      <c r="Q230" s="58">
        <f t="shared" si="256"/>
        <v>0.11808779920211393</v>
      </c>
      <c r="R230" s="23" t="s">
        <v>487</v>
      </c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1:73" ht="12.75" customHeight="1" x14ac:dyDescent="0.25">
      <c r="C231" s="27" t="s">
        <v>29</v>
      </c>
      <c r="D231" s="27" t="s">
        <v>491</v>
      </c>
      <c r="F231" s="58">
        <f>SUM(F228:F230)</f>
        <v>0</v>
      </c>
      <c r="G231" s="58">
        <f t="shared" ref="G231:Q231" si="257">SUM(G228:G230)</f>
        <v>0</v>
      </c>
      <c r="H231" s="58">
        <f t="shared" si="257"/>
        <v>0</v>
      </c>
      <c r="I231" s="58">
        <f t="shared" si="257"/>
        <v>0</v>
      </c>
      <c r="J231" s="58">
        <f t="shared" si="257"/>
        <v>0</v>
      </c>
      <c r="K231" s="58">
        <f t="shared" si="257"/>
        <v>0</v>
      </c>
      <c r="L231" s="58">
        <f t="shared" si="257"/>
        <v>0</v>
      </c>
      <c r="M231" s="58">
        <f t="shared" si="257"/>
        <v>0</v>
      </c>
      <c r="N231" s="58">
        <f t="shared" si="257"/>
        <v>0.10965626077589259</v>
      </c>
      <c r="O231" s="58">
        <f t="shared" si="257"/>
        <v>0.22863330371773605</v>
      </c>
      <c r="P231" s="58">
        <f t="shared" si="257"/>
        <v>0.35755891091847236</v>
      </c>
      <c r="Q231" s="58">
        <f t="shared" si="257"/>
        <v>0.49710024477569464</v>
      </c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1:73" ht="12.75" customHeight="1" x14ac:dyDescent="0.25">
      <c r="C232" s="27" t="s">
        <v>489</v>
      </c>
      <c r="D232" s="27" t="s">
        <v>491</v>
      </c>
      <c r="Q232" s="75">
        <f>Q231</f>
        <v>0.49710024477569464</v>
      </c>
      <c r="R232" s="23">
        <f>Q232*1000000/$R$266</f>
        <v>0.66324868247694724</v>
      </c>
      <c r="S232" s="23" t="s">
        <v>41</v>
      </c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1:73" ht="12.75" customHeight="1" x14ac:dyDescent="0.25">
      <c r="C233" s="27" t="s">
        <v>229</v>
      </c>
      <c r="D233" s="27" t="s">
        <v>491</v>
      </c>
      <c r="Q233" s="126">
        <f>-PMT($E$192,$E$193,Q232)*E196</f>
        <v>0</v>
      </c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1:73" ht="12.75" customHeight="1" x14ac:dyDescent="0.25">
      <c r="C234" s="27"/>
      <c r="S234" s="58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1:73" ht="12.75" customHeight="1" x14ac:dyDescent="0.25">
      <c r="B235" s="28" t="s">
        <v>263</v>
      </c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1:73" ht="12.75" customHeight="1" x14ac:dyDescent="0.25">
      <c r="B236" s="217">
        <f>E203</f>
        <v>2</v>
      </c>
      <c r="C236" s="23" t="s">
        <v>105</v>
      </c>
      <c r="D236" s="23" t="s">
        <v>454</v>
      </c>
      <c r="R236" s="96">
        <f>CHOOSE($B$236,R240,R241)</f>
        <v>20.265685000000001</v>
      </c>
      <c r="S236" s="96">
        <f>CHOOSE($B$236,S240,S241)</f>
        <v>20.651935000000002</v>
      </c>
      <c r="T236" s="96">
        <f t="shared" ref="T236:AU236" si="258">CHOOSE($B$236,T240,T241)</f>
        <v>21.047454999999999</v>
      </c>
      <c r="U236" s="96">
        <f t="shared" si="258"/>
        <v>21.450699999999998</v>
      </c>
      <c r="V236" s="96">
        <f t="shared" si="258"/>
        <v>21.863214999999997</v>
      </c>
      <c r="W236" s="96">
        <f t="shared" si="258"/>
        <v>22.283455</v>
      </c>
      <c r="X236" s="96">
        <f t="shared" si="258"/>
        <v>22.712965000000001</v>
      </c>
      <c r="Y236" s="96">
        <f t="shared" si="258"/>
        <v>23.151745000000002</v>
      </c>
      <c r="Z236" s="96">
        <f t="shared" si="258"/>
        <v>23.60134</v>
      </c>
      <c r="AA236" s="96">
        <f t="shared" si="258"/>
        <v>24.058659999999996</v>
      </c>
      <c r="AB236" s="96">
        <f t="shared" si="258"/>
        <v>24.554604999999999</v>
      </c>
      <c r="AC236" s="96">
        <f t="shared" si="258"/>
        <v>25.062909999999999</v>
      </c>
      <c r="AD236" s="96">
        <f t="shared" si="258"/>
        <v>25.58203</v>
      </c>
      <c r="AE236" s="96">
        <f t="shared" si="258"/>
        <v>26.111965000000001</v>
      </c>
      <c r="AF236" s="96">
        <f t="shared" si="258"/>
        <v>26.654260000000001</v>
      </c>
      <c r="AG236" s="96">
        <f t="shared" si="258"/>
        <v>27.210459999999998</v>
      </c>
      <c r="AH236" s="96">
        <f t="shared" si="258"/>
        <v>27.777474999999999</v>
      </c>
      <c r="AI236" s="96">
        <f t="shared" si="258"/>
        <v>27.777474999999999</v>
      </c>
      <c r="AJ236" s="96">
        <f t="shared" si="258"/>
        <v>27.777474999999999</v>
      </c>
      <c r="AK236" s="96">
        <f t="shared" si="258"/>
        <v>27.777474999999999</v>
      </c>
      <c r="AL236" s="96">
        <f t="shared" si="258"/>
        <v>27.777474999999999</v>
      </c>
      <c r="AM236" s="96">
        <f t="shared" si="258"/>
        <v>27.777474999999999</v>
      </c>
      <c r="AN236" s="96">
        <f t="shared" si="258"/>
        <v>27.777474999999999</v>
      </c>
      <c r="AO236" s="96">
        <f t="shared" si="258"/>
        <v>27.777474999999999</v>
      </c>
      <c r="AP236" s="96">
        <f t="shared" si="258"/>
        <v>27.777474999999999</v>
      </c>
      <c r="AQ236" s="96">
        <f t="shared" si="258"/>
        <v>27.777474999999999</v>
      </c>
      <c r="AR236" s="96">
        <f t="shared" si="258"/>
        <v>27.777474999999999</v>
      </c>
      <c r="AS236" s="96">
        <f t="shared" si="258"/>
        <v>27.777474999999999</v>
      </c>
      <c r="AT236" s="96">
        <f t="shared" si="258"/>
        <v>27.777474999999999</v>
      </c>
      <c r="AU236" s="96">
        <f t="shared" si="258"/>
        <v>27.777474999999999</v>
      </c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1:73" ht="12.75" customHeight="1" x14ac:dyDescent="0.25">
      <c r="B237" s="217"/>
      <c r="D237" s="23" t="s">
        <v>287</v>
      </c>
      <c r="R237" s="58">
        <f>R236/1000000*$E$183</f>
        <v>0.14793950050000002</v>
      </c>
      <c r="S237" s="58">
        <f t="shared" ref="S237:AU237" si="259">S236/1000000*$E$183</f>
        <v>0.15075912550000001</v>
      </c>
      <c r="T237" s="58">
        <f t="shared" si="259"/>
        <v>0.15364642149999999</v>
      </c>
      <c r="U237" s="58">
        <f t="shared" si="259"/>
        <v>0.15659010999999998</v>
      </c>
      <c r="V237" s="58">
        <f t="shared" si="259"/>
        <v>0.15960146949999995</v>
      </c>
      <c r="W237" s="58">
        <f t="shared" si="259"/>
        <v>0.16266922150000002</v>
      </c>
      <c r="X237" s="58">
        <f t="shared" si="259"/>
        <v>0.16580464450000001</v>
      </c>
      <c r="Y237" s="58">
        <f t="shared" si="259"/>
        <v>0.1690077385</v>
      </c>
      <c r="Z237" s="58">
        <f t="shared" si="259"/>
        <v>0.172289782</v>
      </c>
      <c r="AA237" s="58">
        <f t="shared" si="259"/>
        <v>0.17562821799999997</v>
      </c>
      <c r="AB237" s="58">
        <f t="shared" si="259"/>
        <v>0.17924861649999999</v>
      </c>
      <c r="AC237" s="58">
        <f t="shared" si="259"/>
        <v>0.18295924299999999</v>
      </c>
      <c r="AD237" s="58">
        <f t="shared" si="259"/>
        <v>0.18674881899999998</v>
      </c>
      <c r="AE237" s="58">
        <f t="shared" si="259"/>
        <v>0.19061734450000001</v>
      </c>
      <c r="AF237" s="58">
        <f t="shared" si="259"/>
        <v>0.194576098</v>
      </c>
      <c r="AG237" s="58">
        <f t="shared" si="259"/>
        <v>0.19863635799999999</v>
      </c>
      <c r="AH237" s="58">
        <f t="shared" si="259"/>
        <v>0.20277556749999998</v>
      </c>
      <c r="AI237" s="58">
        <f t="shared" si="259"/>
        <v>0.20277556749999998</v>
      </c>
      <c r="AJ237" s="58">
        <f t="shared" si="259"/>
        <v>0.20277556749999998</v>
      </c>
      <c r="AK237" s="58">
        <f t="shared" si="259"/>
        <v>0.20277556749999998</v>
      </c>
      <c r="AL237" s="58">
        <f t="shared" si="259"/>
        <v>0.20277556749999998</v>
      </c>
      <c r="AM237" s="58">
        <f t="shared" si="259"/>
        <v>0.20277556749999998</v>
      </c>
      <c r="AN237" s="58">
        <f t="shared" si="259"/>
        <v>0.20277556749999998</v>
      </c>
      <c r="AO237" s="58">
        <f t="shared" si="259"/>
        <v>0.20277556749999998</v>
      </c>
      <c r="AP237" s="58">
        <f t="shared" si="259"/>
        <v>0.20277556749999998</v>
      </c>
      <c r="AQ237" s="58">
        <f t="shared" si="259"/>
        <v>0.20277556749999998</v>
      </c>
      <c r="AR237" s="58">
        <f t="shared" si="259"/>
        <v>0.20277556749999998</v>
      </c>
      <c r="AS237" s="58">
        <f t="shared" si="259"/>
        <v>0.20277556749999998</v>
      </c>
      <c r="AT237" s="58">
        <f t="shared" si="259"/>
        <v>0.20277556749999998</v>
      </c>
      <c r="AU237" s="58">
        <f t="shared" si="259"/>
        <v>0.20277556749999998</v>
      </c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1:73" ht="12.75" customHeight="1" x14ac:dyDescent="0.25">
      <c r="B238" s="2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1:73" ht="12.75" customHeight="1" x14ac:dyDescent="0.25">
      <c r="B239" s="28" t="s">
        <v>262</v>
      </c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1:73" ht="12.75" customHeight="1" x14ac:dyDescent="0.25">
      <c r="B240" s="23">
        <v>1</v>
      </c>
      <c r="C240" s="23" t="s">
        <v>548</v>
      </c>
      <c r="D240" s="23" t="s">
        <v>454</v>
      </c>
      <c r="F240" s="96">
        <f>'Gas price projections'!G38</f>
        <v>6.62</v>
      </c>
      <c r="G240" s="96">
        <f>'Gas price projections'!H38</f>
        <v>6.946341463414635</v>
      </c>
      <c r="H240" s="96">
        <f>'Gas price projections'!I38</f>
        <v>7.0624628197501496</v>
      </c>
      <c r="I240" s="96">
        <f>'Gas price projections'!J38</f>
        <v>7.1502154640820663</v>
      </c>
      <c r="J240" s="96">
        <f>'Gas price projections'!K38</f>
        <v>7.2929026906380283</v>
      </c>
      <c r="K240" s="96">
        <f>'Gas price projections'!L38</f>
        <v>7.1415426438848986</v>
      </c>
      <c r="L240" s="96">
        <f>'Gas price projections'!M38</f>
        <v>7.1139491441741631</v>
      </c>
      <c r="M240" s="96">
        <f>'Gas price projections'!N38</f>
        <v>7.5966250728032758</v>
      </c>
      <c r="N240" s="96">
        <f>'Gas price projections'!O38</f>
        <v>8.6999136506187753</v>
      </c>
      <c r="O240" s="96">
        <f>'Gas price projections'!P38</f>
        <v>8.976164935429038</v>
      </c>
      <c r="P240" s="96">
        <f>'Gas price projections'!Q38</f>
        <v>9.2103291563463241</v>
      </c>
      <c r="Q240" s="96">
        <f>'Gas price projections'!R38</f>
        <v>9.4734596423910151</v>
      </c>
      <c r="R240" s="96">
        <f>'Gas price projections'!S38</f>
        <v>9.495208652028591</v>
      </c>
      <c r="S240" s="96">
        <f>'Gas price projections'!T38</f>
        <v>9.4739901060407146</v>
      </c>
      <c r="T240" s="96">
        <f>'Gas price projections'!U38</f>
        <v>9.3632307999042812</v>
      </c>
      <c r="U240" s="96">
        <f>'Gas price projections'!V38</f>
        <v>9.1831919059585161</v>
      </c>
      <c r="V240" s="96">
        <f>'Gas price projections'!W38</f>
        <v>9.0737278542645328</v>
      </c>
      <c r="W240" s="96">
        <f>'Gas price projections'!X38</f>
        <v>8.8918491222191403</v>
      </c>
      <c r="X240" s="96">
        <f>'Gas price projections'!Y38</f>
        <v>8.7070330488515815</v>
      </c>
      <c r="Y240" s="96">
        <f>'Gas price projections'!Z38</f>
        <v>8.5822402694237372</v>
      </c>
      <c r="Z240" s="96">
        <f>'Gas price projections'!AA38</f>
        <v>8.4949715245949253</v>
      </c>
      <c r="AA240" s="96">
        <f>'Gas price projections'!AB38</f>
        <v>8.3354080000230564</v>
      </c>
      <c r="AB240" s="96">
        <f>'Gas price projections'!AC38</f>
        <v>8.1785745393954468</v>
      </c>
      <c r="AC240" s="96">
        <f>'Gas price projections'!AD38</f>
        <v>8.0527677525505332</v>
      </c>
      <c r="AD240" s="96">
        <f>'Gas price projections'!AE38</f>
        <v>7.8010712475575792</v>
      </c>
      <c r="AE240" s="96">
        <f>'Gas price projections'!AF38</f>
        <v>7.5137109110284754</v>
      </c>
      <c r="AF240" s="96">
        <f>'Gas price projections'!AG38</f>
        <v>7.2830885443688205</v>
      </c>
      <c r="AG240" s="96">
        <f>'Gas price projections'!AH38</f>
        <v>6.9771023063564277</v>
      </c>
      <c r="AH240" s="96">
        <f>'Gas price projections'!AI38</f>
        <v>6.9672099701299679</v>
      </c>
      <c r="AI240" s="96">
        <f>'Gas price projections'!AJ38</f>
        <v>6.8217110822545193</v>
      </c>
      <c r="AJ240" s="96">
        <f>'Gas price projections'!AK38</f>
        <v>6.7554438490143633</v>
      </c>
      <c r="AK240" s="96">
        <f>'Gas price projections'!AL38</f>
        <v>6.6511418517930645</v>
      </c>
      <c r="AL240" s="96">
        <f>'Gas price projections'!AM38</f>
        <v>6.6205123395982142</v>
      </c>
      <c r="AM240" s="96">
        <f>'Gas price projections'!AN38</f>
        <v>6.5210148456030161</v>
      </c>
      <c r="AN240" s="96">
        <f>'Gas price projections'!AO38</f>
        <v>6.4526658250664193</v>
      </c>
      <c r="AO240" s="96">
        <f>'Gas price projections'!AP38</f>
        <v>6.3500619704019954</v>
      </c>
      <c r="AP240" s="96">
        <f>'Gas price projections'!AQ38</f>
        <v>6.3185105271386321</v>
      </c>
      <c r="AQ240" s="96">
        <f>'Gas price projections'!AR38</f>
        <v>6.2165392304075926</v>
      </c>
      <c r="AR240" s="96">
        <f>'Gas price projections'!AS38</f>
        <v>6.1196962117120215</v>
      </c>
      <c r="AS240" s="96">
        <f>'Gas price projections'!AT38</f>
        <v>6.0200617091072663</v>
      </c>
      <c r="AT240" s="96">
        <f>'Gas price projections'!AU38</f>
        <v>5.9886844290607257</v>
      </c>
      <c r="AU240" s="96">
        <f>'Gas price projections'!AV38</f>
        <v>5.8898540586745778</v>
      </c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1:73" ht="12.75" customHeight="1" x14ac:dyDescent="0.25">
      <c r="B241" s="23">
        <v>2</v>
      </c>
      <c r="C241" s="23" t="s">
        <v>547</v>
      </c>
      <c r="D241" s="23" t="s">
        <v>454</v>
      </c>
      <c r="F241" s="195">
        <f>'Gas price projections'!G64</f>
        <v>19.259889999999999</v>
      </c>
      <c r="G241" s="195">
        <f>'Gas price projections'!H64</f>
        <v>17.419795000000001</v>
      </c>
      <c r="H241" s="195">
        <f>'Gas price projections'!I64</f>
        <v>17.450695</v>
      </c>
      <c r="I241" s="195">
        <f>'Gas price projections'!J64</f>
        <v>17.279199999999999</v>
      </c>
      <c r="J241" s="195">
        <f>'Gas price projections'!K64</f>
        <v>17.450695</v>
      </c>
      <c r="K241" s="195">
        <f>'Gas price projections'!L64</f>
        <v>17.776689999999999</v>
      </c>
      <c r="L241" s="195">
        <f>'Gas price projections'!M64</f>
        <v>18.110410000000002</v>
      </c>
      <c r="M241" s="195">
        <f>'Gas price projections'!N64</f>
        <v>18.451854999999998</v>
      </c>
      <c r="N241" s="195">
        <f>'Gas price projections'!O64</f>
        <v>18.799479999999999</v>
      </c>
      <c r="O241" s="195">
        <f>'Gas price projections'!P64</f>
        <v>19.154829999999997</v>
      </c>
      <c r="P241" s="195">
        <f>'Gas price projections'!Q64</f>
        <v>19.516359999999999</v>
      </c>
      <c r="Q241" s="195">
        <f>'Gas price projections'!R64</f>
        <v>19.887159999999998</v>
      </c>
      <c r="R241" s="195">
        <f>'Gas price projections'!S64</f>
        <v>20.265685000000001</v>
      </c>
      <c r="S241" s="195">
        <f>'Gas price projections'!T64</f>
        <v>20.651935000000002</v>
      </c>
      <c r="T241" s="195">
        <f>'Gas price projections'!U64</f>
        <v>21.047454999999999</v>
      </c>
      <c r="U241" s="195">
        <f>'Gas price projections'!V64</f>
        <v>21.450699999999998</v>
      </c>
      <c r="V241" s="195">
        <f>'Gas price projections'!W64</f>
        <v>21.863214999999997</v>
      </c>
      <c r="W241" s="195">
        <f>'Gas price projections'!X64</f>
        <v>22.283455</v>
      </c>
      <c r="X241" s="195">
        <f>'Gas price projections'!Y64</f>
        <v>22.712965000000001</v>
      </c>
      <c r="Y241" s="195">
        <f>'Gas price projections'!Z64</f>
        <v>23.151745000000002</v>
      </c>
      <c r="Z241" s="195">
        <f>'Gas price projections'!AA64</f>
        <v>23.60134</v>
      </c>
      <c r="AA241" s="195">
        <f>'Gas price projections'!AB64</f>
        <v>24.058659999999996</v>
      </c>
      <c r="AB241" s="195">
        <f>'Gas price projections'!AC64</f>
        <v>24.554604999999999</v>
      </c>
      <c r="AC241" s="195">
        <f>'Gas price projections'!AD64</f>
        <v>25.062909999999999</v>
      </c>
      <c r="AD241" s="195">
        <f>'Gas price projections'!AE64</f>
        <v>25.58203</v>
      </c>
      <c r="AE241" s="195">
        <f>'Gas price projections'!AF64</f>
        <v>26.111965000000001</v>
      </c>
      <c r="AF241" s="195">
        <f>'Gas price projections'!AG64</f>
        <v>26.654260000000001</v>
      </c>
      <c r="AG241" s="195">
        <f>'Gas price projections'!AH64</f>
        <v>27.210459999999998</v>
      </c>
      <c r="AH241" s="195">
        <f>'Gas price projections'!AI64</f>
        <v>27.777474999999999</v>
      </c>
      <c r="AI241" s="195">
        <f>'Gas price projections'!AJ64</f>
        <v>27.777474999999999</v>
      </c>
      <c r="AJ241" s="195">
        <f>'Gas price projections'!AK64</f>
        <v>27.777474999999999</v>
      </c>
      <c r="AK241" s="195">
        <f>'Gas price projections'!AL64</f>
        <v>27.777474999999999</v>
      </c>
      <c r="AL241" s="195">
        <f>'Gas price projections'!AM64</f>
        <v>27.777474999999999</v>
      </c>
      <c r="AM241" s="195">
        <f>'Gas price projections'!AN64</f>
        <v>27.777474999999999</v>
      </c>
      <c r="AN241" s="195">
        <f>'Gas price projections'!AO64</f>
        <v>27.777474999999999</v>
      </c>
      <c r="AO241" s="195">
        <f>'Gas price projections'!AP64</f>
        <v>27.777474999999999</v>
      </c>
      <c r="AP241" s="195">
        <f>'Gas price projections'!AQ64</f>
        <v>27.777474999999999</v>
      </c>
      <c r="AQ241" s="195">
        <f>'Gas price projections'!AR64</f>
        <v>27.777474999999999</v>
      </c>
      <c r="AR241" s="195">
        <f>'Gas price projections'!AS64</f>
        <v>27.777474999999999</v>
      </c>
      <c r="AS241" s="195">
        <f>'Gas price projections'!AT64</f>
        <v>27.777474999999999</v>
      </c>
      <c r="AT241" s="195">
        <f>'Gas price projections'!AU64</f>
        <v>27.777474999999999</v>
      </c>
      <c r="AU241" s="195">
        <f>'Gas price projections'!AV64</f>
        <v>27.777474999999999</v>
      </c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3" spans="1:73" ht="12.75" customHeight="1" x14ac:dyDescent="0.2">
      <c r="A243" s="28" t="s">
        <v>240</v>
      </c>
      <c r="C243" s="27"/>
      <c r="D243" s="27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</row>
    <row r="244" spans="1:73" ht="12.75" customHeight="1" x14ac:dyDescent="0.2">
      <c r="A244" s="1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</row>
    <row r="245" spans="1:73" ht="12.75" customHeight="1" x14ac:dyDescent="0.2">
      <c r="A245" s="116" t="s">
        <v>216</v>
      </c>
      <c r="B245" s="25"/>
      <c r="C245" s="117" t="s">
        <v>215</v>
      </c>
      <c r="D245" s="117" t="s">
        <v>19</v>
      </c>
      <c r="E245" s="25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 t="s">
        <v>214</v>
      </c>
      <c r="S245" s="25">
        <f>S$44</f>
        <v>2025</v>
      </c>
      <c r="T245" s="25">
        <f t="shared" ref="T245:BO245" si="260">T$44</f>
        <v>2026</v>
      </c>
      <c r="U245" s="25">
        <f t="shared" si="260"/>
        <v>2027</v>
      </c>
      <c r="V245" s="25">
        <f t="shared" si="260"/>
        <v>2028</v>
      </c>
      <c r="W245" s="25">
        <f t="shared" si="260"/>
        <v>2029</v>
      </c>
      <c r="X245" s="25">
        <f t="shared" si="260"/>
        <v>2030</v>
      </c>
      <c r="Y245" s="25">
        <f t="shared" si="260"/>
        <v>2031</v>
      </c>
      <c r="Z245" s="25">
        <f t="shared" si="260"/>
        <v>2032</v>
      </c>
      <c r="AA245" s="25">
        <f t="shared" si="260"/>
        <v>2033</v>
      </c>
      <c r="AB245" s="25">
        <f t="shared" si="260"/>
        <v>2034</v>
      </c>
      <c r="AC245" s="25">
        <f t="shared" si="260"/>
        <v>2035</v>
      </c>
      <c r="AD245" s="25">
        <f t="shared" si="260"/>
        <v>2036</v>
      </c>
      <c r="AE245" s="25">
        <f t="shared" si="260"/>
        <v>2037</v>
      </c>
      <c r="AF245" s="25">
        <f t="shared" si="260"/>
        <v>2038</v>
      </c>
      <c r="AG245" s="25">
        <f t="shared" si="260"/>
        <v>2039</v>
      </c>
      <c r="AH245" s="25">
        <f t="shared" si="260"/>
        <v>2040</v>
      </c>
      <c r="AI245" s="25">
        <f t="shared" si="260"/>
        <v>2041</v>
      </c>
      <c r="AJ245" s="25">
        <f t="shared" si="260"/>
        <v>2042</v>
      </c>
      <c r="AK245" s="25">
        <f t="shared" si="260"/>
        <v>2043</v>
      </c>
      <c r="AL245" s="25">
        <f t="shared" si="260"/>
        <v>2044</v>
      </c>
      <c r="AM245" s="25">
        <f t="shared" si="260"/>
        <v>2045</v>
      </c>
      <c r="AN245" s="25">
        <f t="shared" si="260"/>
        <v>2046</v>
      </c>
      <c r="AO245" s="25">
        <f t="shared" si="260"/>
        <v>2047</v>
      </c>
      <c r="AP245" s="25">
        <f t="shared" si="260"/>
        <v>2048</v>
      </c>
      <c r="AQ245" s="25">
        <f t="shared" si="260"/>
        <v>2049</v>
      </c>
      <c r="AR245" s="25">
        <f t="shared" si="260"/>
        <v>2050</v>
      </c>
      <c r="AS245" s="25">
        <f t="shared" si="260"/>
        <v>2051</v>
      </c>
      <c r="AT245" s="25">
        <f t="shared" si="260"/>
        <v>2052</v>
      </c>
      <c r="AU245" s="25">
        <f t="shared" si="260"/>
        <v>2053</v>
      </c>
      <c r="AV245" s="25">
        <f t="shared" si="260"/>
        <v>2054</v>
      </c>
      <c r="AW245" s="25">
        <f t="shared" si="260"/>
        <v>2055</v>
      </c>
      <c r="AX245" s="25">
        <f t="shared" si="260"/>
        <v>2056</v>
      </c>
      <c r="AY245" s="25">
        <f t="shared" si="260"/>
        <v>2057</v>
      </c>
      <c r="AZ245" s="25">
        <f t="shared" si="260"/>
        <v>2058</v>
      </c>
      <c r="BA245" s="25">
        <f t="shared" si="260"/>
        <v>2059</v>
      </c>
      <c r="BB245" s="25">
        <f t="shared" si="260"/>
        <v>2060</v>
      </c>
      <c r="BC245" s="25">
        <f t="shared" si="260"/>
        <v>2061</v>
      </c>
      <c r="BD245" s="25">
        <f t="shared" si="260"/>
        <v>2062</v>
      </c>
      <c r="BE245" s="25">
        <f t="shared" si="260"/>
        <v>2063</v>
      </c>
      <c r="BF245" s="25">
        <f t="shared" si="260"/>
        <v>2064</v>
      </c>
      <c r="BG245" s="25">
        <f t="shared" si="260"/>
        <v>2065</v>
      </c>
      <c r="BH245" s="25">
        <f t="shared" si="260"/>
        <v>2066</v>
      </c>
      <c r="BI245" s="25">
        <f t="shared" si="260"/>
        <v>2067</v>
      </c>
      <c r="BJ245" s="25">
        <f t="shared" si="260"/>
        <v>2068</v>
      </c>
      <c r="BK245" s="25">
        <f t="shared" si="260"/>
        <v>2069</v>
      </c>
      <c r="BL245" s="25">
        <f t="shared" si="260"/>
        <v>2070</v>
      </c>
      <c r="BM245" s="25">
        <f t="shared" si="260"/>
        <v>2071</v>
      </c>
      <c r="BN245" s="25">
        <f t="shared" si="260"/>
        <v>2072</v>
      </c>
      <c r="BO245" s="25">
        <f t="shared" si="260"/>
        <v>2073</v>
      </c>
    </row>
    <row r="246" spans="1:73" ht="12.75" customHeight="1" x14ac:dyDescent="0.2">
      <c r="A246" s="115">
        <v>1</v>
      </c>
      <c r="B246" s="16" t="s">
        <v>498</v>
      </c>
      <c r="D246" s="27"/>
      <c r="P246" s="23" t="s">
        <v>41</v>
      </c>
    </row>
    <row r="247" spans="1:73" ht="12.75" customHeight="1" x14ac:dyDescent="0.25">
      <c r="A247" s="115">
        <v>2</v>
      </c>
      <c r="B247" s="16"/>
      <c r="C247" s="23" t="s">
        <v>12</v>
      </c>
      <c r="D247" s="23" t="s">
        <v>221</v>
      </c>
      <c r="P247" s="74">
        <f>R247*1000000000/($R$266*1000)</f>
        <v>0.15572579</v>
      </c>
      <c r="R247" s="74">
        <f>($E$182*1000)*($E$183/1000000)*R236/1000000000</f>
        <v>0.11671538952447</v>
      </c>
      <c r="S247" s="74">
        <f t="shared" ref="S247:AU247" si="261">($E$182*1000)*($E$183/1000000)*S236/1000000000</f>
        <v>0.11893990447197</v>
      </c>
      <c r="T247" s="74">
        <f t="shared" si="261"/>
        <v>0.12121780777820999</v>
      </c>
      <c r="U247" s="74">
        <f t="shared" si="261"/>
        <v>0.12354020138339999</v>
      </c>
      <c r="V247" s="74">
        <f t="shared" si="261"/>
        <v>0.12591598334732998</v>
      </c>
      <c r="W247" s="74">
        <f t="shared" si="261"/>
        <v>0.12833625561021</v>
      </c>
      <c r="X247" s="74">
        <f t="shared" si="261"/>
        <v>0.13080991623183</v>
      </c>
      <c r="Y247" s="74">
        <f t="shared" si="261"/>
        <v>0.13333696521219002</v>
      </c>
      <c r="Z247" s="74">
        <f t="shared" si="261"/>
        <v>0.13592630061107999</v>
      </c>
      <c r="AA247" s="74">
        <f t="shared" si="261"/>
        <v>0.13856012630891998</v>
      </c>
      <c r="AB247" s="74">
        <f t="shared" si="261"/>
        <v>0.14141640350151</v>
      </c>
      <c r="AC247" s="74">
        <f t="shared" si="261"/>
        <v>0.14434386517241998</v>
      </c>
      <c r="AD247" s="74">
        <f t="shared" si="261"/>
        <v>0.14733361326185998</v>
      </c>
      <c r="AE247" s="74">
        <f t="shared" si="261"/>
        <v>0.15038564776983002</v>
      </c>
      <c r="AF247" s="74">
        <f t="shared" si="261"/>
        <v>0.15350886675611999</v>
      </c>
      <c r="AG247" s="74">
        <f t="shared" si="261"/>
        <v>0.15671216828051998</v>
      </c>
      <c r="AH247" s="74">
        <f t="shared" si="261"/>
        <v>0.15997775622345001</v>
      </c>
      <c r="AI247" s="74">
        <f t="shared" si="261"/>
        <v>0.15997775622345001</v>
      </c>
      <c r="AJ247" s="74">
        <f t="shared" si="261"/>
        <v>0.15997775622345001</v>
      </c>
      <c r="AK247" s="74">
        <f t="shared" si="261"/>
        <v>0.15997775622345001</v>
      </c>
      <c r="AL247" s="74">
        <f t="shared" si="261"/>
        <v>0.15997775622345001</v>
      </c>
      <c r="AM247" s="74">
        <f t="shared" si="261"/>
        <v>0.15997775622345001</v>
      </c>
      <c r="AN247" s="74">
        <f t="shared" si="261"/>
        <v>0.15997775622345001</v>
      </c>
      <c r="AO247" s="74">
        <f t="shared" si="261"/>
        <v>0.15997775622345001</v>
      </c>
      <c r="AP247" s="74">
        <f t="shared" si="261"/>
        <v>0.15997775622345001</v>
      </c>
      <c r="AQ247" s="74">
        <f t="shared" si="261"/>
        <v>0.15997775622345001</v>
      </c>
      <c r="AR247" s="74">
        <f t="shared" si="261"/>
        <v>0.15997775622345001</v>
      </c>
      <c r="AS247" s="74">
        <f t="shared" si="261"/>
        <v>0.15997775622345001</v>
      </c>
      <c r="AT247" s="74">
        <f t="shared" si="261"/>
        <v>0.15997775622345001</v>
      </c>
      <c r="AU247" s="74">
        <f t="shared" si="261"/>
        <v>0.15997775622345001</v>
      </c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73" ht="12.75" customHeight="1" x14ac:dyDescent="0.25">
      <c r="A248" s="115">
        <v>3</v>
      </c>
      <c r="C248" s="23" t="s">
        <v>31</v>
      </c>
      <c r="D248" s="23" t="s">
        <v>221</v>
      </c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74">
        <f>R248*1000000000/($R$266*1000)</f>
        <v>6.6642650431691826E-3</v>
      </c>
      <c r="Q248" s="39"/>
      <c r="R248" s="54">
        <f>$E$189</f>
        <v>4.9948199999999996E-3</v>
      </c>
      <c r="S248" s="54">
        <f t="shared" ref="S248:AU248" si="262">$E$189</f>
        <v>4.9948199999999996E-3</v>
      </c>
      <c r="T248" s="54">
        <f t="shared" si="262"/>
        <v>4.9948199999999996E-3</v>
      </c>
      <c r="U248" s="54">
        <f t="shared" si="262"/>
        <v>4.9948199999999996E-3</v>
      </c>
      <c r="V248" s="54">
        <f t="shared" si="262"/>
        <v>4.9948199999999996E-3</v>
      </c>
      <c r="W248" s="54">
        <f t="shared" si="262"/>
        <v>4.9948199999999996E-3</v>
      </c>
      <c r="X248" s="54">
        <f t="shared" si="262"/>
        <v>4.9948199999999996E-3</v>
      </c>
      <c r="Y248" s="54">
        <f t="shared" si="262"/>
        <v>4.9948199999999996E-3</v>
      </c>
      <c r="Z248" s="54">
        <f t="shared" si="262"/>
        <v>4.9948199999999996E-3</v>
      </c>
      <c r="AA248" s="54">
        <f t="shared" si="262"/>
        <v>4.9948199999999996E-3</v>
      </c>
      <c r="AB248" s="54">
        <f t="shared" si="262"/>
        <v>4.9948199999999996E-3</v>
      </c>
      <c r="AC248" s="54">
        <f t="shared" si="262"/>
        <v>4.9948199999999996E-3</v>
      </c>
      <c r="AD248" s="54">
        <f t="shared" si="262"/>
        <v>4.9948199999999996E-3</v>
      </c>
      <c r="AE248" s="54">
        <f t="shared" si="262"/>
        <v>4.9948199999999996E-3</v>
      </c>
      <c r="AF248" s="54">
        <f t="shared" si="262"/>
        <v>4.9948199999999996E-3</v>
      </c>
      <c r="AG248" s="54">
        <f t="shared" si="262"/>
        <v>4.9948199999999996E-3</v>
      </c>
      <c r="AH248" s="54">
        <f t="shared" si="262"/>
        <v>4.9948199999999996E-3</v>
      </c>
      <c r="AI248" s="54">
        <f t="shared" si="262"/>
        <v>4.9948199999999996E-3</v>
      </c>
      <c r="AJ248" s="54">
        <f t="shared" si="262"/>
        <v>4.9948199999999996E-3</v>
      </c>
      <c r="AK248" s="54">
        <f t="shared" si="262"/>
        <v>4.9948199999999996E-3</v>
      </c>
      <c r="AL248" s="54">
        <f t="shared" si="262"/>
        <v>4.9948199999999996E-3</v>
      </c>
      <c r="AM248" s="54">
        <f t="shared" si="262"/>
        <v>4.9948199999999996E-3</v>
      </c>
      <c r="AN248" s="54">
        <f t="shared" si="262"/>
        <v>4.9948199999999996E-3</v>
      </c>
      <c r="AO248" s="54">
        <f t="shared" si="262"/>
        <v>4.9948199999999996E-3</v>
      </c>
      <c r="AP248" s="54">
        <f t="shared" si="262"/>
        <v>4.9948199999999996E-3</v>
      </c>
      <c r="AQ248" s="54">
        <f t="shared" si="262"/>
        <v>4.9948199999999996E-3</v>
      </c>
      <c r="AR248" s="54">
        <f t="shared" si="262"/>
        <v>4.9948199999999996E-3</v>
      </c>
      <c r="AS248" s="54">
        <f t="shared" si="262"/>
        <v>4.9948199999999996E-3</v>
      </c>
      <c r="AT248" s="54">
        <f t="shared" si="262"/>
        <v>4.9948199999999996E-3</v>
      </c>
      <c r="AU248" s="54">
        <f t="shared" si="262"/>
        <v>4.9948199999999996E-3</v>
      </c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73" ht="12.75" customHeight="1" x14ac:dyDescent="0.25">
      <c r="A249" s="115">
        <v>4</v>
      </c>
      <c r="C249" s="17" t="s">
        <v>496</v>
      </c>
      <c r="D249" s="23" t="s">
        <v>221</v>
      </c>
      <c r="F249" s="42"/>
      <c r="G249" s="39"/>
      <c r="H249" s="39"/>
      <c r="I249" s="39"/>
      <c r="J249" s="39"/>
      <c r="K249" s="39"/>
      <c r="L249" s="39"/>
      <c r="M249" s="39"/>
      <c r="N249" s="39"/>
      <c r="O249" s="39"/>
      <c r="P249" s="74">
        <f>R249*1000000000/($R$266*1000)</f>
        <v>0.1623900550431692</v>
      </c>
      <c r="Q249" s="39"/>
      <c r="R249" s="68">
        <f t="shared" ref="R249:AU249" si="263">R247+R248</f>
        <v>0.12171020952446999</v>
      </c>
      <c r="S249" s="68">
        <f t="shared" si="263"/>
        <v>0.12393472447197</v>
      </c>
      <c r="T249" s="68">
        <f t="shared" si="263"/>
        <v>0.12621262777820999</v>
      </c>
      <c r="U249" s="68">
        <f t="shared" si="263"/>
        <v>0.12853502138340001</v>
      </c>
      <c r="V249" s="68">
        <f t="shared" si="263"/>
        <v>0.13091080334732999</v>
      </c>
      <c r="W249" s="68">
        <f t="shared" si="263"/>
        <v>0.13333107561021001</v>
      </c>
      <c r="X249" s="68">
        <f t="shared" si="263"/>
        <v>0.13580473623183001</v>
      </c>
      <c r="Y249" s="68">
        <f t="shared" si="263"/>
        <v>0.13833178521219003</v>
      </c>
      <c r="Z249" s="68">
        <f t="shared" si="263"/>
        <v>0.14092112061108</v>
      </c>
      <c r="AA249" s="68">
        <f t="shared" si="263"/>
        <v>0.14355494630891999</v>
      </c>
      <c r="AB249" s="68">
        <f t="shared" si="263"/>
        <v>0.14641122350151001</v>
      </c>
      <c r="AC249" s="68">
        <f t="shared" si="263"/>
        <v>0.14933868517241999</v>
      </c>
      <c r="AD249" s="68">
        <f t="shared" si="263"/>
        <v>0.15232843326185999</v>
      </c>
      <c r="AE249" s="68">
        <f t="shared" si="263"/>
        <v>0.15538046776983003</v>
      </c>
      <c r="AF249" s="68">
        <f t="shared" si="263"/>
        <v>0.15850368675612</v>
      </c>
      <c r="AG249" s="68">
        <f t="shared" si="263"/>
        <v>0.16170698828051999</v>
      </c>
      <c r="AH249" s="68">
        <f t="shared" si="263"/>
        <v>0.16497257622345002</v>
      </c>
      <c r="AI249" s="68">
        <f t="shared" si="263"/>
        <v>0.16497257622345002</v>
      </c>
      <c r="AJ249" s="68">
        <f t="shared" si="263"/>
        <v>0.16497257622345002</v>
      </c>
      <c r="AK249" s="68">
        <f t="shared" si="263"/>
        <v>0.16497257622345002</v>
      </c>
      <c r="AL249" s="68">
        <f t="shared" si="263"/>
        <v>0.16497257622345002</v>
      </c>
      <c r="AM249" s="68">
        <f t="shared" si="263"/>
        <v>0.16497257622345002</v>
      </c>
      <c r="AN249" s="68">
        <f t="shared" si="263"/>
        <v>0.16497257622345002</v>
      </c>
      <c r="AO249" s="68">
        <f t="shared" si="263"/>
        <v>0.16497257622345002</v>
      </c>
      <c r="AP249" s="68">
        <f t="shared" si="263"/>
        <v>0.16497257622345002</v>
      </c>
      <c r="AQ249" s="68">
        <f t="shared" si="263"/>
        <v>0.16497257622345002</v>
      </c>
      <c r="AR249" s="68">
        <f t="shared" si="263"/>
        <v>0.16497257622345002</v>
      </c>
      <c r="AS249" s="68">
        <f t="shared" si="263"/>
        <v>0.16497257622345002</v>
      </c>
      <c r="AT249" s="68">
        <f t="shared" si="263"/>
        <v>0.16497257622345002</v>
      </c>
      <c r="AU249" s="68">
        <f t="shared" si="263"/>
        <v>0.16497257622345002</v>
      </c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73" ht="12.75" customHeight="1" x14ac:dyDescent="0.2">
      <c r="A250" s="115">
        <v>5</v>
      </c>
      <c r="C250" s="17"/>
      <c r="D250" s="27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236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</row>
    <row r="251" spans="1:73" ht="12.75" customHeight="1" x14ac:dyDescent="0.2">
      <c r="A251" s="115">
        <v>6</v>
      </c>
      <c r="B251" s="17" t="s">
        <v>523</v>
      </c>
      <c r="C251" s="15"/>
      <c r="D251" s="27"/>
      <c r="F251" s="30"/>
      <c r="P251" s="74"/>
    </row>
    <row r="252" spans="1:73" ht="12.75" customHeight="1" x14ac:dyDescent="0.2">
      <c r="A252" s="115">
        <v>7</v>
      </c>
      <c r="B252" s="16"/>
      <c r="C252" s="23" t="s">
        <v>241</v>
      </c>
      <c r="D252" s="27" t="s">
        <v>491</v>
      </c>
      <c r="F252" s="47"/>
      <c r="G252" s="35"/>
      <c r="H252" s="35"/>
      <c r="I252" s="35"/>
      <c r="J252" s="35"/>
      <c r="K252" s="35"/>
      <c r="L252" s="35"/>
      <c r="M252" s="35"/>
      <c r="N252" s="35"/>
      <c r="O252" s="35"/>
      <c r="P252" s="74">
        <f t="shared" ref="P252:P254" si="264">R252*1000000000/($R$266*1000)</f>
        <v>4.8184294829158182E-2</v>
      </c>
      <c r="Q252" s="35"/>
      <c r="R252" s="61">
        <f>R276</f>
        <v>3.6113791684390252E-2</v>
      </c>
      <c r="S252" s="61">
        <f t="shared" ref="S252:AU252" si="265">S276</f>
        <v>3.6113791684390252E-2</v>
      </c>
      <c r="T252" s="61">
        <f t="shared" si="265"/>
        <v>3.6113791684390252E-2</v>
      </c>
      <c r="U252" s="61">
        <f t="shared" si="265"/>
        <v>3.6113791684390252E-2</v>
      </c>
      <c r="V252" s="61">
        <f t="shared" si="265"/>
        <v>3.6113791684390252E-2</v>
      </c>
      <c r="W252" s="61">
        <f t="shared" si="265"/>
        <v>3.6113791684390252E-2</v>
      </c>
      <c r="X252" s="61">
        <f t="shared" si="265"/>
        <v>3.6113791684390252E-2</v>
      </c>
      <c r="Y252" s="61">
        <f t="shared" si="265"/>
        <v>3.6113791684390252E-2</v>
      </c>
      <c r="Z252" s="61">
        <f t="shared" si="265"/>
        <v>3.6113791684390252E-2</v>
      </c>
      <c r="AA252" s="61">
        <f t="shared" si="265"/>
        <v>3.6113791684390252E-2</v>
      </c>
      <c r="AB252" s="61">
        <f t="shared" si="265"/>
        <v>3.6113791684390252E-2</v>
      </c>
      <c r="AC252" s="61">
        <f t="shared" si="265"/>
        <v>3.6113791684390252E-2</v>
      </c>
      <c r="AD252" s="61">
        <f t="shared" si="265"/>
        <v>3.6113791684390252E-2</v>
      </c>
      <c r="AE252" s="61">
        <f t="shared" si="265"/>
        <v>3.6113791684390252E-2</v>
      </c>
      <c r="AF252" s="61">
        <f t="shared" si="265"/>
        <v>3.6113791684390252E-2</v>
      </c>
      <c r="AG252" s="61">
        <f t="shared" si="265"/>
        <v>3.6113791684390252E-2</v>
      </c>
      <c r="AH252" s="61">
        <f t="shared" si="265"/>
        <v>3.6113791684390252E-2</v>
      </c>
      <c r="AI252" s="61">
        <f t="shared" si="265"/>
        <v>3.6113791684390252E-2</v>
      </c>
      <c r="AJ252" s="61">
        <f t="shared" si="265"/>
        <v>3.6113791684390252E-2</v>
      </c>
      <c r="AK252" s="61">
        <f t="shared" si="265"/>
        <v>3.6113791684390252E-2</v>
      </c>
      <c r="AL252" s="61">
        <f t="shared" si="265"/>
        <v>3.6113791684390252E-2</v>
      </c>
      <c r="AM252" s="61">
        <f t="shared" si="265"/>
        <v>3.6113791684390252E-2</v>
      </c>
      <c r="AN252" s="61">
        <f t="shared" si="265"/>
        <v>0</v>
      </c>
      <c r="AO252" s="61">
        <f t="shared" si="265"/>
        <v>0</v>
      </c>
      <c r="AP252" s="61">
        <f t="shared" si="265"/>
        <v>0</v>
      </c>
      <c r="AQ252" s="61">
        <f t="shared" si="265"/>
        <v>0</v>
      </c>
      <c r="AR252" s="61">
        <f t="shared" si="265"/>
        <v>0</v>
      </c>
      <c r="AS252" s="61">
        <f t="shared" si="265"/>
        <v>0</v>
      </c>
      <c r="AT252" s="61">
        <f t="shared" si="265"/>
        <v>0</v>
      </c>
      <c r="AU252" s="61">
        <f t="shared" si="265"/>
        <v>0</v>
      </c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</row>
    <row r="253" spans="1:73" ht="12.75" customHeight="1" x14ac:dyDescent="0.2">
      <c r="A253" s="115">
        <v>8</v>
      </c>
      <c r="B253" s="16"/>
      <c r="C253" s="23" t="s">
        <v>275</v>
      </c>
      <c r="D253" s="27" t="s">
        <v>491</v>
      </c>
      <c r="F253" s="47"/>
      <c r="G253" s="35"/>
      <c r="H253" s="35"/>
      <c r="I253" s="35"/>
      <c r="J253" s="35"/>
      <c r="K253" s="35"/>
      <c r="L253" s="35"/>
      <c r="M253" s="35"/>
      <c r="N253" s="35"/>
      <c r="O253" s="35"/>
      <c r="P253" s="74">
        <f t="shared" si="264"/>
        <v>0</v>
      </c>
      <c r="Q253" s="35"/>
      <c r="R253" s="61">
        <f>($E$192-$E$197)*R285</f>
        <v>0</v>
      </c>
      <c r="S253" s="61">
        <f t="shared" ref="S253:AU253" si="266">($E$192-$E$197)*S285</f>
        <v>0</v>
      </c>
      <c r="T253" s="61">
        <f t="shared" si="266"/>
        <v>0</v>
      </c>
      <c r="U253" s="61">
        <f t="shared" si="266"/>
        <v>0</v>
      </c>
      <c r="V253" s="61">
        <f t="shared" si="266"/>
        <v>0</v>
      </c>
      <c r="W253" s="61">
        <f t="shared" si="266"/>
        <v>0</v>
      </c>
      <c r="X253" s="61">
        <f t="shared" si="266"/>
        <v>0</v>
      </c>
      <c r="Y253" s="61">
        <f t="shared" si="266"/>
        <v>0</v>
      </c>
      <c r="Z253" s="61">
        <f t="shared" si="266"/>
        <v>0</v>
      </c>
      <c r="AA253" s="61">
        <f t="shared" si="266"/>
        <v>0</v>
      </c>
      <c r="AB253" s="61">
        <f t="shared" si="266"/>
        <v>0</v>
      </c>
      <c r="AC253" s="61">
        <f t="shared" si="266"/>
        <v>0</v>
      </c>
      <c r="AD253" s="61">
        <f t="shared" si="266"/>
        <v>0</v>
      </c>
      <c r="AE253" s="61">
        <f t="shared" si="266"/>
        <v>0</v>
      </c>
      <c r="AF253" s="61">
        <f t="shared" si="266"/>
        <v>0</v>
      </c>
      <c r="AG253" s="61">
        <f t="shared" si="266"/>
        <v>0</v>
      </c>
      <c r="AH253" s="61">
        <f t="shared" si="266"/>
        <v>0</v>
      </c>
      <c r="AI253" s="61">
        <f t="shared" si="266"/>
        <v>0</v>
      </c>
      <c r="AJ253" s="61">
        <f t="shared" si="266"/>
        <v>0</v>
      </c>
      <c r="AK253" s="61">
        <f t="shared" si="266"/>
        <v>0</v>
      </c>
      <c r="AL253" s="61">
        <f t="shared" si="266"/>
        <v>0</v>
      </c>
      <c r="AM253" s="61">
        <f t="shared" si="266"/>
        <v>0</v>
      </c>
      <c r="AN253" s="61">
        <f t="shared" si="266"/>
        <v>0</v>
      </c>
      <c r="AO253" s="61">
        <f t="shared" si="266"/>
        <v>0</v>
      </c>
      <c r="AP253" s="61">
        <f t="shared" si="266"/>
        <v>0</v>
      </c>
      <c r="AQ253" s="61">
        <f t="shared" si="266"/>
        <v>0</v>
      </c>
      <c r="AR253" s="61">
        <f t="shared" si="266"/>
        <v>0</v>
      </c>
      <c r="AS253" s="61">
        <f t="shared" si="266"/>
        <v>0</v>
      </c>
      <c r="AT253" s="61">
        <f t="shared" si="266"/>
        <v>0</v>
      </c>
      <c r="AU253" s="61">
        <f t="shared" si="266"/>
        <v>0</v>
      </c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</row>
    <row r="254" spans="1:73" ht="12.75" customHeight="1" x14ac:dyDescent="0.2">
      <c r="A254" s="115">
        <v>9</v>
      </c>
      <c r="C254" s="172" t="s">
        <v>497</v>
      </c>
      <c r="D254" s="27" t="s">
        <v>491</v>
      </c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74">
        <f t="shared" si="264"/>
        <v>4.8184294829158182E-2</v>
      </c>
      <c r="Q254" s="41"/>
      <c r="R254" s="61">
        <f>SUM(R252:R253)</f>
        <v>3.6113791684390252E-2</v>
      </c>
      <c r="S254" s="61">
        <f t="shared" ref="S254:AU254" si="267">SUM(S252:S253)</f>
        <v>3.6113791684390252E-2</v>
      </c>
      <c r="T254" s="61">
        <f t="shared" si="267"/>
        <v>3.6113791684390252E-2</v>
      </c>
      <c r="U254" s="61">
        <f t="shared" si="267"/>
        <v>3.6113791684390252E-2</v>
      </c>
      <c r="V254" s="61">
        <f t="shared" si="267"/>
        <v>3.6113791684390252E-2</v>
      </c>
      <c r="W254" s="61">
        <f t="shared" si="267"/>
        <v>3.6113791684390252E-2</v>
      </c>
      <c r="X254" s="61">
        <f t="shared" si="267"/>
        <v>3.6113791684390252E-2</v>
      </c>
      <c r="Y254" s="61">
        <f t="shared" si="267"/>
        <v>3.6113791684390252E-2</v>
      </c>
      <c r="Z254" s="61">
        <f t="shared" si="267"/>
        <v>3.6113791684390252E-2</v>
      </c>
      <c r="AA254" s="61">
        <f t="shared" si="267"/>
        <v>3.6113791684390252E-2</v>
      </c>
      <c r="AB254" s="61">
        <f t="shared" si="267"/>
        <v>3.6113791684390252E-2</v>
      </c>
      <c r="AC254" s="61">
        <f t="shared" si="267"/>
        <v>3.6113791684390252E-2</v>
      </c>
      <c r="AD254" s="61">
        <f t="shared" si="267"/>
        <v>3.6113791684390252E-2</v>
      </c>
      <c r="AE254" s="61">
        <f t="shared" si="267"/>
        <v>3.6113791684390252E-2</v>
      </c>
      <c r="AF254" s="61">
        <f t="shared" si="267"/>
        <v>3.6113791684390252E-2</v>
      </c>
      <c r="AG254" s="61">
        <f t="shared" si="267"/>
        <v>3.6113791684390252E-2</v>
      </c>
      <c r="AH254" s="61">
        <f t="shared" si="267"/>
        <v>3.6113791684390252E-2</v>
      </c>
      <c r="AI254" s="61">
        <f t="shared" si="267"/>
        <v>3.6113791684390252E-2</v>
      </c>
      <c r="AJ254" s="61">
        <f t="shared" si="267"/>
        <v>3.6113791684390252E-2</v>
      </c>
      <c r="AK254" s="61">
        <f t="shared" si="267"/>
        <v>3.6113791684390252E-2</v>
      </c>
      <c r="AL254" s="61">
        <f t="shared" si="267"/>
        <v>3.6113791684390252E-2</v>
      </c>
      <c r="AM254" s="61">
        <f t="shared" si="267"/>
        <v>3.6113791684390252E-2</v>
      </c>
      <c r="AN254" s="61">
        <f t="shared" si="267"/>
        <v>0</v>
      </c>
      <c r="AO254" s="61">
        <f t="shared" si="267"/>
        <v>0</v>
      </c>
      <c r="AP254" s="61">
        <f t="shared" si="267"/>
        <v>0</v>
      </c>
      <c r="AQ254" s="61">
        <f t="shared" si="267"/>
        <v>0</v>
      </c>
      <c r="AR254" s="61">
        <f t="shared" si="267"/>
        <v>0</v>
      </c>
      <c r="AS254" s="61">
        <f t="shared" si="267"/>
        <v>0</v>
      </c>
      <c r="AT254" s="61">
        <f t="shared" si="267"/>
        <v>0</v>
      </c>
      <c r="AU254" s="61">
        <f t="shared" si="267"/>
        <v>0</v>
      </c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</row>
    <row r="255" spans="1:73" ht="12.75" customHeight="1" x14ac:dyDescent="0.2">
      <c r="A255" s="115">
        <v>10</v>
      </c>
      <c r="C255" s="17" t="s">
        <v>500</v>
      </c>
      <c r="D255" s="23" t="s">
        <v>221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1"/>
      <c r="Q255" s="30"/>
      <c r="R255" s="283">
        <f>R254/R221</f>
        <v>2.6852622338228695E-2</v>
      </c>
      <c r="S255" s="283">
        <f t="shared" ref="S255:AU255" si="268">S254/S221</f>
        <v>2.6197680329979215E-2</v>
      </c>
      <c r="T255" s="283">
        <f t="shared" si="268"/>
        <v>2.5558712517052894E-2</v>
      </c>
      <c r="U255" s="283">
        <f t="shared" si="268"/>
        <v>2.4935329284929648E-2</v>
      </c>
      <c r="V255" s="283">
        <f t="shared" si="268"/>
        <v>2.4327150521882588E-2</v>
      </c>
      <c r="W255" s="283">
        <f t="shared" si="268"/>
        <v>2.3733805387202527E-2</v>
      </c>
      <c r="X255" s="283">
        <f t="shared" si="268"/>
        <v>2.3154932085075634E-2</v>
      </c>
      <c r="Y255" s="283">
        <f t="shared" si="268"/>
        <v>2.2590177643976229E-2</v>
      </c>
      <c r="Z255" s="283">
        <f t="shared" si="268"/>
        <v>2.2039197701440225E-2</v>
      </c>
      <c r="AA255" s="283">
        <f t="shared" si="268"/>
        <v>2.1501656294088029E-2</v>
      </c>
      <c r="AB255" s="283">
        <f t="shared" si="268"/>
        <v>2.097722565276881E-2</v>
      </c>
      <c r="AC255" s="283">
        <f t="shared" si="268"/>
        <v>2.0465586002701278E-2</v>
      </c>
      <c r="AD255" s="283">
        <f t="shared" si="268"/>
        <v>1.9966425368489051E-2</v>
      </c>
      <c r="AE255" s="283">
        <f t="shared" si="268"/>
        <v>1.947943938389176E-2</v>
      </c>
      <c r="AF255" s="283">
        <f t="shared" si="268"/>
        <v>1.9004331106235867E-2</v>
      </c>
      <c r="AG255" s="283">
        <f t="shared" si="268"/>
        <v>1.8540810835352063E-2</v>
      </c>
      <c r="AH255" s="283">
        <f t="shared" si="268"/>
        <v>1.8088595936928846E-2</v>
      </c>
      <c r="AI255" s="283">
        <f t="shared" si="268"/>
        <v>1.7647410670174481E-2</v>
      </c>
      <c r="AJ255" s="283">
        <f t="shared" si="268"/>
        <v>1.7216986019682422E-2</v>
      </c>
      <c r="AK255" s="283">
        <f t="shared" si="268"/>
        <v>1.6797059531397481E-2</v>
      </c>
      <c r="AL255" s="283">
        <f t="shared" si="268"/>
        <v>1.6387375152582914E-2</v>
      </c>
      <c r="AM255" s="283">
        <f t="shared" si="268"/>
        <v>1.5987683075690647E-2</v>
      </c>
      <c r="AN255" s="283">
        <f t="shared" si="268"/>
        <v>0</v>
      </c>
      <c r="AO255" s="283">
        <f t="shared" si="268"/>
        <v>0</v>
      </c>
      <c r="AP255" s="283">
        <f t="shared" si="268"/>
        <v>0</v>
      </c>
      <c r="AQ255" s="283">
        <f t="shared" si="268"/>
        <v>0</v>
      </c>
      <c r="AR255" s="283">
        <f t="shared" si="268"/>
        <v>0</v>
      </c>
      <c r="AS255" s="283">
        <f t="shared" si="268"/>
        <v>0</v>
      </c>
      <c r="AT255" s="283">
        <f t="shared" si="268"/>
        <v>0</v>
      </c>
      <c r="AU255" s="283">
        <f t="shared" si="268"/>
        <v>0</v>
      </c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</row>
    <row r="256" spans="1:73" ht="12.75" customHeight="1" x14ac:dyDescent="0.2">
      <c r="A256" s="115">
        <v>11</v>
      </c>
      <c r="C256" s="17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236"/>
      <c r="Q256" s="30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</row>
    <row r="257" spans="1:67" ht="12.75" customHeight="1" x14ac:dyDescent="0.2">
      <c r="A257" s="115">
        <v>12</v>
      </c>
      <c r="B257" s="17" t="s">
        <v>501</v>
      </c>
      <c r="D257" s="23" t="s">
        <v>221</v>
      </c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74">
        <f t="shared" ref="P257" si="269">R257*1000000000/($R$266*1000)</f>
        <v>0.19821777103014798</v>
      </c>
      <c r="Q257" s="43"/>
      <c r="R257" s="66">
        <f>R249+R255</f>
        <v>0.1485628318626987</v>
      </c>
      <c r="S257" s="66">
        <f t="shared" ref="S257:AU257" si="270">S249+S255</f>
        <v>0.15013240480194923</v>
      </c>
      <c r="T257" s="66">
        <f t="shared" si="270"/>
        <v>0.15177134029526287</v>
      </c>
      <c r="U257" s="66">
        <f t="shared" si="270"/>
        <v>0.15347035066832965</v>
      </c>
      <c r="V257" s="66">
        <f t="shared" si="270"/>
        <v>0.15523795386921257</v>
      </c>
      <c r="W257" s="66">
        <f t="shared" si="270"/>
        <v>0.15706488099741253</v>
      </c>
      <c r="X257" s="66">
        <f t="shared" si="270"/>
        <v>0.15895966831690564</v>
      </c>
      <c r="Y257" s="66">
        <f t="shared" si="270"/>
        <v>0.16092196285616625</v>
      </c>
      <c r="Z257" s="66">
        <f t="shared" si="270"/>
        <v>0.16296031831252022</v>
      </c>
      <c r="AA257" s="66">
        <f t="shared" si="270"/>
        <v>0.16505660260300803</v>
      </c>
      <c r="AB257" s="66">
        <f t="shared" si="270"/>
        <v>0.16738844915427881</v>
      </c>
      <c r="AC257" s="66">
        <f t="shared" si="270"/>
        <v>0.16980427117512126</v>
      </c>
      <c r="AD257" s="66">
        <f t="shared" si="270"/>
        <v>0.17229485863034905</v>
      </c>
      <c r="AE257" s="66">
        <f t="shared" si="270"/>
        <v>0.17485990715372179</v>
      </c>
      <c r="AF257" s="66">
        <f t="shared" si="270"/>
        <v>0.17750801786235587</v>
      </c>
      <c r="AG257" s="66">
        <f t="shared" si="270"/>
        <v>0.18024779911587205</v>
      </c>
      <c r="AH257" s="66">
        <f t="shared" si="270"/>
        <v>0.18306117216037887</v>
      </c>
      <c r="AI257" s="66">
        <f t="shared" si="270"/>
        <v>0.18261998689362449</v>
      </c>
      <c r="AJ257" s="66">
        <f t="shared" si="270"/>
        <v>0.18218956224313243</v>
      </c>
      <c r="AK257" s="66">
        <f t="shared" si="270"/>
        <v>0.1817696357548475</v>
      </c>
      <c r="AL257" s="66">
        <f t="shared" si="270"/>
        <v>0.18135995137603295</v>
      </c>
      <c r="AM257" s="66">
        <f t="shared" si="270"/>
        <v>0.18096025929914067</v>
      </c>
      <c r="AN257" s="66">
        <f t="shared" si="270"/>
        <v>0.16497257622345002</v>
      </c>
      <c r="AO257" s="66">
        <f t="shared" si="270"/>
        <v>0.16497257622345002</v>
      </c>
      <c r="AP257" s="66">
        <f t="shared" si="270"/>
        <v>0.16497257622345002</v>
      </c>
      <c r="AQ257" s="66">
        <f t="shared" si="270"/>
        <v>0.16497257622345002</v>
      </c>
      <c r="AR257" s="66">
        <f t="shared" si="270"/>
        <v>0.16497257622345002</v>
      </c>
      <c r="AS257" s="66">
        <f t="shared" si="270"/>
        <v>0.16497257622345002</v>
      </c>
      <c r="AT257" s="66">
        <f t="shared" si="270"/>
        <v>0.16497257622345002</v>
      </c>
      <c r="AU257" s="66">
        <f t="shared" si="270"/>
        <v>0.16497257622345002</v>
      </c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</row>
    <row r="258" spans="1:67" ht="12.75" customHeight="1" x14ac:dyDescent="0.2">
      <c r="A258" s="115">
        <v>13</v>
      </c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</row>
    <row r="259" spans="1:67" ht="12.75" customHeight="1" x14ac:dyDescent="0.2">
      <c r="A259" s="115">
        <v>14</v>
      </c>
      <c r="B259" s="16" t="s">
        <v>502</v>
      </c>
      <c r="D259" s="27"/>
    </row>
    <row r="260" spans="1:67" ht="12.75" customHeight="1" x14ac:dyDescent="0.2">
      <c r="A260" s="115">
        <v>15</v>
      </c>
      <c r="C260" s="29" t="s">
        <v>73</v>
      </c>
      <c r="D260" s="23" t="s">
        <v>221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67">
        <f>R257</f>
        <v>0.1485628318626987</v>
      </c>
      <c r="S260" s="67">
        <f t="shared" ref="S260:AU260" si="271">S257</f>
        <v>0.15013240480194923</v>
      </c>
      <c r="T260" s="67">
        <f t="shared" si="271"/>
        <v>0.15177134029526287</v>
      </c>
      <c r="U260" s="67">
        <f t="shared" si="271"/>
        <v>0.15347035066832965</v>
      </c>
      <c r="V260" s="67">
        <f t="shared" si="271"/>
        <v>0.15523795386921257</v>
      </c>
      <c r="W260" s="67">
        <f t="shared" si="271"/>
        <v>0.15706488099741253</v>
      </c>
      <c r="X260" s="67">
        <f t="shared" si="271"/>
        <v>0.15895966831690564</v>
      </c>
      <c r="Y260" s="67">
        <f t="shared" si="271"/>
        <v>0.16092196285616625</v>
      </c>
      <c r="Z260" s="67">
        <f t="shared" si="271"/>
        <v>0.16296031831252022</v>
      </c>
      <c r="AA260" s="67">
        <f t="shared" si="271"/>
        <v>0.16505660260300803</v>
      </c>
      <c r="AB260" s="67">
        <f t="shared" si="271"/>
        <v>0.16738844915427881</v>
      </c>
      <c r="AC260" s="67">
        <f t="shared" si="271"/>
        <v>0.16980427117512126</v>
      </c>
      <c r="AD260" s="67">
        <f t="shared" si="271"/>
        <v>0.17229485863034905</v>
      </c>
      <c r="AE260" s="67">
        <f t="shared" si="271"/>
        <v>0.17485990715372179</v>
      </c>
      <c r="AF260" s="67">
        <f t="shared" si="271"/>
        <v>0.17750801786235587</v>
      </c>
      <c r="AG260" s="67">
        <f t="shared" si="271"/>
        <v>0.18024779911587205</v>
      </c>
      <c r="AH260" s="67">
        <f t="shared" si="271"/>
        <v>0.18306117216037887</v>
      </c>
      <c r="AI260" s="67">
        <f t="shared" si="271"/>
        <v>0.18261998689362449</v>
      </c>
      <c r="AJ260" s="67">
        <f t="shared" si="271"/>
        <v>0.18218956224313243</v>
      </c>
      <c r="AK260" s="67">
        <f t="shared" si="271"/>
        <v>0.1817696357548475</v>
      </c>
      <c r="AL260" s="67">
        <f t="shared" si="271"/>
        <v>0.18135995137603295</v>
      </c>
      <c r="AM260" s="67">
        <f t="shared" si="271"/>
        <v>0.18096025929914067</v>
      </c>
      <c r="AN260" s="67">
        <f t="shared" si="271"/>
        <v>0.16497257622345002</v>
      </c>
      <c r="AO260" s="67">
        <f t="shared" si="271"/>
        <v>0.16497257622345002</v>
      </c>
      <c r="AP260" s="67">
        <f t="shared" si="271"/>
        <v>0.16497257622345002</v>
      </c>
      <c r="AQ260" s="67">
        <f t="shared" si="271"/>
        <v>0.16497257622345002</v>
      </c>
      <c r="AR260" s="67">
        <f t="shared" si="271"/>
        <v>0.16497257622345002</v>
      </c>
      <c r="AS260" s="67">
        <f t="shared" si="271"/>
        <v>0.16497257622345002</v>
      </c>
      <c r="AT260" s="67">
        <f t="shared" si="271"/>
        <v>0.16497257622345002</v>
      </c>
      <c r="AU260" s="67">
        <f t="shared" si="271"/>
        <v>0.16497257622345002</v>
      </c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</row>
    <row r="261" spans="1:67" ht="12.75" customHeight="1" x14ac:dyDescent="0.2">
      <c r="A261" s="115">
        <v>16</v>
      </c>
      <c r="C261" s="73" t="s">
        <v>270</v>
      </c>
      <c r="D261" s="23" t="s">
        <v>221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67">
        <f t="shared" ref="R261:AU261" si="272">($E$198-1)*R254/R$47</f>
        <v>6.7131555845571754E-3</v>
      </c>
      <c r="S261" s="67">
        <f t="shared" si="272"/>
        <v>6.5494200824948055E-3</v>
      </c>
      <c r="T261" s="67">
        <f t="shared" si="272"/>
        <v>6.3896781292632253E-3</v>
      </c>
      <c r="U261" s="67">
        <f t="shared" si="272"/>
        <v>6.2338323212324164E-3</v>
      </c>
      <c r="V261" s="67">
        <f t="shared" si="272"/>
        <v>6.0817876304706505E-3</v>
      </c>
      <c r="W261" s="67">
        <f t="shared" si="272"/>
        <v>5.9334513468006353E-3</v>
      </c>
      <c r="X261" s="67">
        <f t="shared" si="272"/>
        <v>5.7887330212689127E-3</v>
      </c>
      <c r="Y261" s="67">
        <f t="shared" si="272"/>
        <v>5.6475444109940617E-3</v>
      </c>
      <c r="Z261" s="67">
        <f t="shared" si="272"/>
        <v>5.5097994253600615E-3</v>
      </c>
      <c r="AA261" s="67">
        <f t="shared" si="272"/>
        <v>5.3754140735220116E-3</v>
      </c>
      <c r="AB261" s="67">
        <f t="shared" si="272"/>
        <v>5.2443064131922068E-3</v>
      </c>
      <c r="AC261" s="67">
        <f t="shared" si="272"/>
        <v>5.1163965006753237E-3</v>
      </c>
      <c r="AD261" s="67">
        <f t="shared" si="272"/>
        <v>4.991606342122268E-3</v>
      </c>
      <c r="AE261" s="67">
        <f t="shared" si="272"/>
        <v>4.8698598459729452E-3</v>
      </c>
      <c r="AF261" s="67">
        <f t="shared" si="272"/>
        <v>4.751082776558971E-3</v>
      </c>
      <c r="AG261" s="67">
        <f t="shared" si="272"/>
        <v>4.635202708838021E-3</v>
      </c>
      <c r="AH261" s="67">
        <f t="shared" si="272"/>
        <v>4.5221489842322158E-3</v>
      </c>
      <c r="AI261" s="67">
        <f t="shared" si="272"/>
        <v>4.4118526675436262E-3</v>
      </c>
      <c r="AJ261" s="67">
        <f t="shared" si="272"/>
        <v>4.3042465049206108E-3</v>
      </c>
      <c r="AK261" s="67">
        <f t="shared" si="272"/>
        <v>4.1992648828493764E-3</v>
      </c>
      <c r="AL261" s="67">
        <f t="shared" si="272"/>
        <v>4.0968437881457338E-3</v>
      </c>
      <c r="AM261" s="67">
        <f t="shared" si="272"/>
        <v>3.9969207689226679E-3</v>
      </c>
      <c r="AN261" s="67">
        <f t="shared" si="272"/>
        <v>0</v>
      </c>
      <c r="AO261" s="67">
        <f t="shared" si="272"/>
        <v>0</v>
      </c>
      <c r="AP261" s="67">
        <f t="shared" si="272"/>
        <v>0</v>
      </c>
      <c r="AQ261" s="67">
        <f t="shared" si="272"/>
        <v>0</v>
      </c>
      <c r="AR261" s="67">
        <f t="shared" si="272"/>
        <v>0</v>
      </c>
      <c r="AS261" s="67">
        <f t="shared" si="272"/>
        <v>0</v>
      </c>
      <c r="AT261" s="67">
        <f t="shared" si="272"/>
        <v>0</v>
      </c>
      <c r="AU261" s="67">
        <f t="shared" si="272"/>
        <v>0</v>
      </c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</row>
    <row r="262" spans="1:67" ht="12.75" customHeight="1" x14ac:dyDescent="0.2">
      <c r="A262" s="115">
        <v>17</v>
      </c>
      <c r="C262" s="73" t="s">
        <v>533</v>
      </c>
      <c r="D262" s="23" t="s">
        <v>221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67">
        <f>-R297</f>
        <v>0</v>
      </c>
      <c r="S262" s="67">
        <f t="shared" ref="S262:AU262" si="273">-S297</f>
        <v>0</v>
      </c>
      <c r="T262" s="67">
        <f t="shared" si="273"/>
        <v>0</v>
      </c>
      <c r="U262" s="67">
        <f t="shared" si="273"/>
        <v>0</v>
      </c>
      <c r="V262" s="67">
        <f t="shared" si="273"/>
        <v>0</v>
      </c>
      <c r="W262" s="67">
        <f t="shared" si="273"/>
        <v>0</v>
      </c>
      <c r="X262" s="67">
        <f t="shared" si="273"/>
        <v>0</v>
      </c>
      <c r="Y262" s="67">
        <f t="shared" si="273"/>
        <v>0</v>
      </c>
      <c r="Z262" s="67">
        <f t="shared" si="273"/>
        <v>0</v>
      </c>
      <c r="AA262" s="67">
        <f t="shared" si="273"/>
        <v>0</v>
      </c>
      <c r="AB262" s="67">
        <f t="shared" si="273"/>
        <v>0</v>
      </c>
      <c r="AC262" s="67">
        <f t="shared" si="273"/>
        <v>0</v>
      </c>
      <c r="AD262" s="67">
        <f t="shared" si="273"/>
        <v>0</v>
      </c>
      <c r="AE262" s="67">
        <f t="shared" si="273"/>
        <v>0</v>
      </c>
      <c r="AF262" s="67">
        <f t="shared" si="273"/>
        <v>0</v>
      </c>
      <c r="AG262" s="67">
        <f t="shared" si="273"/>
        <v>0</v>
      </c>
      <c r="AH262" s="67">
        <f t="shared" si="273"/>
        <v>0</v>
      </c>
      <c r="AI262" s="67">
        <f t="shared" si="273"/>
        <v>0</v>
      </c>
      <c r="AJ262" s="67">
        <f t="shared" si="273"/>
        <v>0</v>
      </c>
      <c r="AK262" s="67">
        <f t="shared" si="273"/>
        <v>0</v>
      </c>
      <c r="AL262" s="67">
        <f t="shared" si="273"/>
        <v>0</v>
      </c>
      <c r="AM262" s="67">
        <f t="shared" si="273"/>
        <v>-1.6191253626099522E-2</v>
      </c>
      <c r="AN262" s="67">
        <f t="shared" si="273"/>
        <v>0</v>
      </c>
      <c r="AO262" s="67">
        <f t="shared" si="273"/>
        <v>0</v>
      </c>
      <c r="AP262" s="67">
        <f t="shared" si="273"/>
        <v>0</v>
      </c>
      <c r="AQ262" s="67">
        <f t="shared" si="273"/>
        <v>0</v>
      </c>
      <c r="AR262" s="67">
        <f t="shared" si="273"/>
        <v>0</v>
      </c>
      <c r="AS262" s="67">
        <f t="shared" si="273"/>
        <v>0</v>
      </c>
      <c r="AT262" s="67">
        <f t="shared" si="273"/>
        <v>0</v>
      </c>
      <c r="AU262" s="67">
        <f t="shared" si="273"/>
        <v>0</v>
      </c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</row>
    <row r="263" spans="1:67" ht="12.75" customHeight="1" x14ac:dyDescent="0.2">
      <c r="A263" s="115">
        <v>18</v>
      </c>
      <c r="B263" s="17" t="s">
        <v>503</v>
      </c>
      <c r="D263" s="23" t="s">
        <v>221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123"/>
      <c r="R263" s="76">
        <f t="shared" ref="R263:AP263" si="274">R260+R261+R262</f>
        <v>0.15527598744725588</v>
      </c>
      <c r="S263" s="76">
        <f t="shared" si="274"/>
        <v>0.15668182488444404</v>
      </c>
      <c r="T263" s="76">
        <f t="shared" si="274"/>
        <v>0.1581610184245261</v>
      </c>
      <c r="U263" s="76">
        <f t="shared" si="274"/>
        <v>0.15970418298956207</v>
      </c>
      <c r="V263" s="76">
        <f t="shared" si="274"/>
        <v>0.16131974149968323</v>
      </c>
      <c r="W263" s="76">
        <f t="shared" si="274"/>
        <v>0.16299833234421315</v>
      </c>
      <c r="X263" s="76">
        <f t="shared" si="274"/>
        <v>0.16474840133817456</v>
      </c>
      <c r="Y263" s="76">
        <f t="shared" si="274"/>
        <v>0.1665695072671603</v>
      </c>
      <c r="Z263" s="76">
        <f t="shared" si="274"/>
        <v>0.16847011773788029</v>
      </c>
      <c r="AA263" s="76">
        <f t="shared" si="274"/>
        <v>0.17043201667653005</v>
      </c>
      <c r="AB263" s="76">
        <f t="shared" si="274"/>
        <v>0.17263275556747101</v>
      </c>
      <c r="AC263" s="76">
        <f t="shared" si="274"/>
        <v>0.17492066767579659</v>
      </c>
      <c r="AD263" s="76">
        <f t="shared" si="274"/>
        <v>0.1772864649724713</v>
      </c>
      <c r="AE263" s="76">
        <f t="shared" si="274"/>
        <v>0.17972976699969473</v>
      </c>
      <c r="AF263" s="76">
        <f t="shared" si="274"/>
        <v>0.18225910063891484</v>
      </c>
      <c r="AG263" s="76">
        <f t="shared" si="274"/>
        <v>0.18488300182471007</v>
      </c>
      <c r="AH263" s="76">
        <f t="shared" si="274"/>
        <v>0.1875833211446111</v>
      </c>
      <c r="AI263" s="76">
        <f t="shared" si="274"/>
        <v>0.18703183956116812</v>
      </c>
      <c r="AJ263" s="76">
        <f t="shared" si="274"/>
        <v>0.18649380874805305</v>
      </c>
      <c r="AK263" s="76">
        <f t="shared" si="274"/>
        <v>0.18596890063769689</v>
      </c>
      <c r="AL263" s="76">
        <f t="shared" si="274"/>
        <v>0.18545679516417868</v>
      </c>
      <c r="AM263" s="76">
        <f t="shared" si="274"/>
        <v>0.16876592644196381</v>
      </c>
      <c r="AN263" s="76">
        <f t="shared" si="274"/>
        <v>0.16497257622345002</v>
      </c>
      <c r="AO263" s="76">
        <f t="shared" si="274"/>
        <v>0.16497257622345002</v>
      </c>
      <c r="AP263" s="76">
        <f t="shared" si="274"/>
        <v>0.16497257622345002</v>
      </c>
      <c r="AQ263" s="76">
        <f>AQ260+AQ261+AQ262</f>
        <v>0.16497257622345002</v>
      </c>
      <c r="AR263" s="76">
        <f t="shared" ref="AR263:AU263" si="275">AR260+AR261+AR262</f>
        <v>0.16497257622345002</v>
      </c>
      <c r="AS263" s="76">
        <f t="shared" si="275"/>
        <v>0.16497257622345002</v>
      </c>
      <c r="AT263" s="76">
        <f t="shared" si="275"/>
        <v>0.16497257622345002</v>
      </c>
      <c r="AU263" s="76">
        <f t="shared" si="275"/>
        <v>0.16497257622345002</v>
      </c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</row>
    <row r="264" spans="1:67" ht="12.75" customHeight="1" x14ac:dyDescent="0.2">
      <c r="A264" s="115">
        <v>19</v>
      </c>
      <c r="B264" s="16"/>
      <c r="F264" s="19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</row>
    <row r="265" spans="1:67" ht="12.75" customHeight="1" x14ac:dyDescent="0.2">
      <c r="A265" s="115">
        <v>20</v>
      </c>
      <c r="C265" s="23" t="s">
        <v>79</v>
      </c>
      <c r="D265" s="23" t="s">
        <v>0</v>
      </c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59"/>
      <c r="R265" s="46">
        <f>$E$182</f>
        <v>788940</v>
      </c>
      <c r="S265" s="46">
        <f t="shared" ref="S265:AU265" si="276">$E$182</f>
        <v>788940</v>
      </c>
      <c r="T265" s="46">
        <f t="shared" si="276"/>
        <v>788940</v>
      </c>
      <c r="U265" s="46">
        <f t="shared" si="276"/>
        <v>788940</v>
      </c>
      <c r="V265" s="46">
        <f t="shared" si="276"/>
        <v>788940</v>
      </c>
      <c r="W265" s="46">
        <f t="shared" si="276"/>
        <v>788940</v>
      </c>
      <c r="X265" s="46">
        <f t="shared" si="276"/>
        <v>788940</v>
      </c>
      <c r="Y265" s="46">
        <f t="shared" si="276"/>
        <v>788940</v>
      </c>
      <c r="Z265" s="46">
        <f t="shared" si="276"/>
        <v>788940</v>
      </c>
      <c r="AA265" s="46">
        <f t="shared" si="276"/>
        <v>788940</v>
      </c>
      <c r="AB265" s="46">
        <f t="shared" si="276"/>
        <v>788940</v>
      </c>
      <c r="AC265" s="46">
        <f t="shared" si="276"/>
        <v>788940</v>
      </c>
      <c r="AD265" s="46">
        <f t="shared" si="276"/>
        <v>788940</v>
      </c>
      <c r="AE265" s="46">
        <f t="shared" si="276"/>
        <v>788940</v>
      </c>
      <c r="AF265" s="46">
        <f t="shared" si="276"/>
        <v>788940</v>
      </c>
      <c r="AG265" s="46">
        <f t="shared" si="276"/>
        <v>788940</v>
      </c>
      <c r="AH265" s="46">
        <f t="shared" si="276"/>
        <v>788940</v>
      </c>
      <c r="AI265" s="46">
        <f t="shared" si="276"/>
        <v>788940</v>
      </c>
      <c r="AJ265" s="46">
        <f t="shared" si="276"/>
        <v>788940</v>
      </c>
      <c r="AK265" s="46">
        <f t="shared" si="276"/>
        <v>788940</v>
      </c>
      <c r="AL265" s="46">
        <f t="shared" si="276"/>
        <v>788940</v>
      </c>
      <c r="AM265" s="46">
        <f t="shared" si="276"/>
        <v>788940</v>
      </c>
      <c r="AN265" s="46">
        <f t="shared" si="276"/>
        <v>788940</v>
      </c>
      <c r="AO265" s="46">
        <f t="shared" si="276"/>
        <v>788940</v>
      </c>
      <c r="AP265" s="46">
        <f t="shared" si="276"/>
        <v>788940</v>
      </c>
      <c r="AQ265" s="46">
        <f t="shared" si="276"/>
        <v>788940</v>
      </c>
      <c r="AR265" s="46">
        <f t="shared" si="276"/>
        <v>788940</v>
      </c>
      <c r="AS265" s="46">
        <f t="shared" si="276"/>
        <v>788940</v>
      </c>
      <c r="AT265" s="46">
        <f t="shared" si="276"/>
        <v>788940</v>
      </c>
      <c r="AU265" s="46">
        <f t="shared" si="276"/>
        <v>788940</v>
      </c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1:67" ht="12.75" customHeight="1" x14ac:dyDescent="0.2">
      <c r="A266" s="115">
        <v>21</v>
      </c>
      <c r="C266" s="23" t="s">
        <v>82</v>
      </c>
      <c r="D266" s="23" t="s">
        <v>0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>
        <f>R265*$E$200</f>
        <v>749493</v>
      </c>
      <c r="S266" s="46">
        <f t="shared" ref="S266:AU266" si="277">S265*$E$200</f>
        <v>749493</v>
      </c>
      <c r="T266" s="46">
        <f t="shared" si="277"/>
        <v>749493</v>
      </c>
      <c r="U266" s="46">
        <f t="shared" si="277"/>
        <v>749493</v>
      </c>
      <c r="V266" s="46">
        <f t="shared" si="277"/>
        <v>749493</v>
      </c>
      <c r="W266" s="46">
        <f t="shared" si="277"/>
        <v>749493</v>
      </c>
      <c r="X266" s="46">
        <f t="shared" si="277"/>
        <v>749493</v>
      </c>
      <c r="Y266" s="46">
        <f t="shared" si="277"/>
        <v>749493</v>
      </c>
      <c r="Z266" s="46">
        <f t="shared" si="277"/>
        <v>749493</v>
      </c>
      <c r="AA266" s="46">
        <f t="shared" si="277"/>
        <v>749493</v>
      </c>
      <c r="AB266" s="46">
        <f t="shared" si="277"/>
        <v>749493</v>
      </c>
      <c r="AC266" s="46">
        <f t="shared" si="277"/>
        <v>749493</v>
      </c>
      <c r="AD266" s="46">
        <f t="shared" si="277"/>
        <v>749493</v>
      </c>
      <c r="AE266" s="46">
        <f t="shared" si="277"/>
        <v>749493</v>
      </c>
      <c r="AF266" s="46">
        <f t="shared" si="277"/>
        <v>749493</v>
      </c>
      <c r="AG266" s="46">
        <f t="shared" si="277"/>
        <v>749493</v>
      </c>
      <c r="AH266" s="46">
        <f t="shared" si="277"/>
        <v>749493</v>
      </c>
      <c r="AI266" s="46">
        <f t="shared" si="277"/>
        <v>749493</v>
      </c>
      <c r="AJ266" s="46">
        <f t="shared" si="277"/>
        <v>749493</v>
      </c>
      <c r="AK266" s="46">
        <f t="shared" si="277"/>
        <v>749493</v>
      </c>
      <c r="AL266" s="46">
        <f t="shared" si="277"/>
        <v>749493</v>
      </c>
      <c r="AM266" s="46">
        <f t="shared" si="277"/>
        <v>749493</v>
      </c>
      <c r="AN266" s="46">
        <f t="shared" si="277"/>
        <v>749493</v>
      </c>
      <c r="AO266" s="46">
        <f t="shared" si="277"/>
        <v>749493</v>
      </c>
      <c r="AP266" s="46">
        <f t="shared" si="277"/>
        <v>749493</v>
      </c>
      <c r="AQ266" s="46">
        <f t="shared" si="277"/>
        <v>749493</v>
      </c>
      <c r="AR266" s="46">
        <f t="shared" si="277"/>
        <v>749493</v>
      </c>
      <c r="AS266" s="46">
        <f t="shared" si="277"/>
        <v>749493</v>
      </c>
      <c r="AT266" s="46">
        <f t="shared" si="277"/>
        <v>749493</v>
      </c>
      <c r="AU266" s="46">
        <f t="shared" si="277"/>
        <v>749493</v>
      </c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1:67" ht="12.75" customHeight="1" x14ac:dyDescent="0.2">
      <c r="A267" s="115">
        <v>22</v>
      </c>
      <c r="B267" s="28" t="s">
        <v>504</v>
      </c>
      <c r="D267" s="23" t="s">
        <v>223</v>
      </c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226">
        <f t="shared" ref="R267" si="278">R263*1000000000/(R266*1000)</f>
        <v>0.20717470002689267</v>
      </c>
      <c r="S267" s="226">
        <f t="shared" ref="S267:AU267" si="279">S263*1000000000/(S266*1000)</f>
        <v>0.20905041792844503</v>
      </c>
      <c r="T267" s="226">
        <f t="shared" si="279"/>
        <v>0.21102401013021616</v>
      </c>
      <c r="U267" s="226">
        <f t="shared" si="279"/>
        <v>0.21308295473014699</v>
      </c>
      <c r="V267" s="226">
        <f t="shared" si="279"/>
        <v>0.21523848988540684</v>
      </c>
      <c r="W267" s="226">
        <f t="shared" si="279"/>
        <v>0.21747812500478744</v>
      </c>
      <c r="X267" s="226">
        <f t="shared" si="279"/>
        <v>0.21981312879262987</v>
      </c>
      <c r="Y267" s="226">
        <f t="shared" si="279"/>
        <v>0.22224291256510775</v>
      </c>
      <c r="Z267" s="226">
        <f t="shared" si="279"/>
        <v>0.22477877410179986</v>
      </c>
      <c r="AA267" s="226">
        <f t="shared" si="279"/>
        <v>0.22739640887443915</v>
      </c>
      <c r="AB267" s="226">
        <f t="shared" si="279"/>
        <v>0.23033271233683442</v>
      </c>
      <c r="AC267" s="226">
        <f t="shared" si="279"/>
        <v>0.23338532538101969</v>
      </c>
      <c r="AD267" s="226">
        <f t="shared" si="279"/>
        <v>0.2365418555910079</v>
      </c>
      <c r="AE267" s="226">
        <f t="shared" si="279"/>
        <v>0.23980179534658061</v>
      </c>
      <c r="AF267" s="226">
        <f t="shared" si="279"/>
        <v>0.24317652151376312</v>
      </c>
      <c r="AG267" s="226">
        <f t="shared" si="279"/>
        <v>0.24667742303758683</v>
      </c>
      <c r="AH267" s="226">
        <f t="shared" si="279"/>
        <v>0.2502802843316897</v>
      </c>
      <c r="AI267" s="226">
        <f t="shared" si="279"/>
        <v>0.24954447814878605</v>
      </c>
      <c r="AJ267" s="226">
        <f t="shared" si="279"/>
        <v>0.24882661845814844</v>
      </c>
      <c r="AK267" s="226">
        <f t="shared" si="279"/>
        <v>0.24812626754045319</v>
      </c>
      <c r="AL267" s="226">
        <f t="shared" si="279"/>
        <v>0.24744299835245781</v>
      </c>
      <c r="AM267" s="226">
        <f t="shared" si="279"/>
        <v>0.22517345250984841</v>
      </c>
      <c r="AN267" s="226">
        <f t="shared" si="279"/>
        <v>0.22011223083264286</v>
      </c>
      <c r="AO267" s="226">
        <f t="shared" si="279"/>
        <v>0.22011223083264286</v>
      </c>
      <c r="AP267" s="226">
        <f t="shared" si="279"/>
        <v>0.22011223083264286</v>
      </c>
      <c r="AQ267" s="226">
        <f t="shared" si="279"/>
        <v>0.22011223083264286</v>
      </c>
      <c r="AR267" s="226">
        <f t="shared" si="279"/>
        <v>0.22011223083264286</v>
      </c>
      <c r="AS267" s="226">
        <f t="shared" si="279"/>
        <v>0.22011223083264286</v>
      </c>
      <c r="AT267" s="226">
        <f t="shared" si="279"/>
        <v>0.22011223083264286</v>
      </c>
      <c r="AU267" s="226">
        <f t="shared" si="279"/>
        <v>0.22011223083264286</v>
      </c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1:67" ht="12.75" customHeight="1" x14ac:dyDescent="0.2">
      <c r="A268" s="115">
        <v>23</v>
      </c>
      <c r="C268" s="23" t="s">
        <v>505</v>
      </c>
      <c r="D268" s="23" t="s">
        <v>223</v>
      </c>
      <c r="F268" s="32"/>
      <c r="R268" s="45">
        <f>$E$201</f>
        <v>4.8000000000000001E-2</v>
      </c>
      <c r="S268" s="45">
        <f t="shared" ref="S268:AU268" si="280">$E$201</f>
        <v>4.8000000000000001E-2</v>
      </c>
      <c r="T268" s="45">
        <f t="shared" si="280"/>
        <v>4.8000000000000001E-2</v>
      </c>
      <c r="U268" s="45">
        <f t="shared" si="280"/>
        <v>4.8000000000000001E-2</v>
      </c>
      <c r="V268" s="45">
        <f t="shared" si="280"/>
        <v>4.8000000000000001E-2</v>
      </c>
      <c r="W268" s="45">
        <f t="shared" si="280"/>
        <v>4.8000000000000001E-2</v>
      </c>
      <c r="X268" s="45">
        <f t="shared" si="280"/>
        <v>4.8000000000000001E-2</v>
      </c>
      <c r="Y268" s="45">
        <f t="shared" si="280"/>
        <v>4.8000000000000001E-2</v>
      </c>
      <c r="Z268" s="45">
        <f t="shared" si="280"/>
        <v>4.8000000000000001E-2</v>
      </c>
      <c r="AA268" s="45">
        <f t="shared" si="280"/>
        <v>4.8000000000000001E-2</v>
      </c>
      <c r="AB268" s="45">
        <f t="shared" si="280"/>
        <v>4.8000000000000001E-2</v>
      </c>
      <c r="AC268" s="45">
        <f t="shared" si="280"/>
        <v>4.8000000000000001E-2</v>
      </c>
      <c r="AD268" s="45">
        <f t="shared" si="280"/>
        <v>4.8000000000000001E-2</v>
      </c>
      <c r="AE268" s="45">
        <f t="shared" si="280"/>
        <v>4.8000000000000001E-2</v>
      </c>
      <c r="AF268" s="45">
        <f t="shared" si="280"/>
        <v>4.8000000000000001E-2</v>
      </c>
      <c r="AG268" s="45">
        <f t="shared" si="280"/>
        <v>4.8000000000000001E-2</v>
      </c>
      <c r="AH268" s="45">
        <f t="shared" si="280"/>
        <v>4.8000000000000001E-2</v>
      </c>
      <c r="AI268" s="45">
        <f t="shared" si="280"/>
        <v>4.8000000000000001E-2</v>
      </c>
      <c r="AJ268" s="45">
        <f t="shared" si="280"/>
        <v>4.8000000000000001E-2</v>
      </c>
      <c r="AK268" s="45">
        <f t="shared" si="280"/>
        <v>4.8000000000000001E-2</v>
      </c>
      <c r="AL268" s="45">
        <f t="shared" si="280"/>
        <v>4.8000000000000001E-2</v>
      </c>
      <c r="AM268" s="45">
        <f t="shared" si="280"/>
        <v>4.8000000000000001E-2</v>
      </c>
      <c r="AN268" s="45">
        <f t="shared" si="280"/>
        <v>4.8000000000000001E-2</v>
      </c>
      <c r="AO268" s="45">
        <f t="shared" si="280"/>
        <v>4.8000000000000001E-2</v>
      </c>
      <c r="AP268" s="45">
        <f t="shared" si="280"/>
        <v>4.8000000000000001E-2</v>
      </c>
      <c r="AQ268" s="45">
        <f t="shared" si="280"/>
        <v>4.8000000000000001E-2</v>
      </c>
      <c r="AR268" s="45">
        <f t="shared" si="280"/>
        <v>4.8000000000000001E-2</v>
      </c>
      <c r="AS268" s="45">
        <f t="shared" si="280"/>
        <v>4.8000000000000001E-2</v>
      </c>
      <c r="AT268" s="45">
        <f t="shared" si="280"/>
        <v>4.8000000000000001E-2</v>
      </c>
      <c r="AU268" s="45">
        <f t="shared" si="280"/>
        <v>4.8000000000000001E-2</v>
      </c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1:67" ht="12.75" customHeight="1" x14ac:dyDescent="0.2">
      <c r="A269" s="115">
        <v>24</v>
      </c>
      <c r="B269" s="28" t="s">
        <v>506</v>
      </c>
      <c r="D269" s="23" t="s">
        <v>223</v>
      </c>
      <c r="F269" s="32"/>
      <c r="R269" s="226">
        <f>R267+R268</f>
        <v>0.25517470002689269</v>
      </c>
      <c r="S269" s="226">
        <f t="shared" ref="S269:AU269" si="281">S267+S268</f>
        <v>0.25705041792844502</v>
      </c>
      <c r="T269" s="226">
        <f t="shared" si="281"/>
        <v>0.25902401013021614</v>
      </c>
      <c r="U269" s="226">
        <f t="shared" si="281"/>
        <v>0.26108295473014698</v>
      </c>
      <c r="V269" s="226">
        <f t="shared" si="281"/>
        <v>0.26323848988540682</v>
      </c>
      <c r="W269" s="226">
        <f t="shared" si="281"/>
        <v>0.26547812500478746</v>
      </c>
      <c r="X269" s="226">
        <f t="shared" si="281"/>
        <v>0.26781312879262986</v>
      </c>
      <c r="Y269" s="226">
        <f t="shared" si="281"/>
        <v>0.27024291256510774</v>
      </c>
      <c r="Z269" s="226">
        <f t="shared" si="281"/>
        <v>0.27277877410179985</v>
      </c>
      <c r="AA269" s="226">
        <f t="shared" si="281"/>
        <v>0.27539640887443917</v>
      </c>
      <c r="AB269" s="226">
        <f t="shared" si="281"/>
        <v>0.27833271233683443</v>
      </c>
      <c r="AC269" s="226">
        <f t="shared" si="281"/>
        <v>0.28138532538101968</v>
      </c>
      <c r="AD269" s="226">
        <f t="shared" si="281"/>
        <v>0.28454185559100792</v>
      </c>
      <c r="AE269" s="226">
        <f t="shared" si="281"/>
        <v>0.28780179534658062</v>
      </c>
      <c r="AF269" s="226">
        <f t="shared" si="281"/>
        <v>0.29117652151376311</v>
      </c>
      <c r="AG269" s="226">
        <f t="shared" si="281"/>
        <v>0.29467742303758682</v>
      </c>
      <c r="AH269" s="226">
        <f t="shared" si="281"/>
        <v>0.29828028433168968</v>
      </c>
      <c r="AI269" s="226">
        <f t="shared" si="281"/>
        <v>0.29754447814878604</v>
      </c>
      <c r="AJ269" s="226">
        <f t="shared" si="281"/>
        <v>0.29682661845814845</v>
      </c>
      <c r="AK269" s="226">
        <f t="shared" si="281"/>
        <v>0.29612626754045318</v>
      </c>
      <c r="AL269" s="226">
        <f t="shared" si="281"/>
        <v>0.2954429983524578</v>
      </c>
      <c r="AM269" s="226">
        <f t="shared" si="281"/>
        <v>0.27317345250984842</v>
      </c>
      <c r="AN269" s="226">
        <f t="shared" si="281"/>
        <v>0.26811223083264285</v>
      </c>
      <c r="AO269" s="226">
        <f t="shared" si="281"/>
        <v>0.26811223083264285</v>
      </c>
      <c r="AP269" s="226">
        <f t="shared" si="281"/>
        <v>0.26811223083264285</v>
      </c>
      <c r="AQ269" s="226">
        <f t="shared" si="281"/>
        <v>0.26811223083264285</v>
      </c>
      <c r="AR269" s="226">
        <f t="shared" si="281"/>
        <v>0.26811223083264285</v>
      </c>
      <c r="AS269" s="226">
        <f t="shared" si="281"/>
        <v>0.26811223083264285</v>
      </c>
      <c r="AT269" s="226">
        <f t="shared" si="281"/>
        <v>0.26811223083264285</v>
      </c>
      <c r="AU269" s="226">
        <f t="shared" si="281"/>
        <v>0.26811223083264285</v>
      </c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1:67" ht="12.75" customHeight="1" x14ac:dyDescent="0.2">
      <c r="A270" s="115"/>
      <c r="F270" s="32"/>
    </row>
    <row r="271" spans="1:67" ht="12.75" customHeight="1" x14ac:dyDescent="0.2">
      <c r="A271" s="23" t="s">
        <v>603</v>
      </c>
      <c r="C271" s="27" t="s">
        <v>604</v>
      </c>
      <c r="D271" s="23" t="s">
        <v>223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Q271" s="26"/>
      <c r="R271" s="74">
        <f>R247*1000000000/($R$266*1000)</f>
        <v>0.15572579</v>
      </c>
      <c r="S271" s="74">
        <f>S247*1000000000/($R$266*1000)</f>
        <v>0.15869381631578949</v>
      </c>
      <c r="T271" s="74">
        <f t="shared" ref="T271:AU271" si="282">T247*1000000000/($R$266*1000)</f>
        <v>0.16173307526315789</v>
      </c>
      <c r="U271" s="74">
        <f t="shared" si="282"/>
        <v>0.16483169473684209</v>
      </c>
      <c r="V271" s="74">
        <f t="shared" si="282"/>
        <v>0.16800154684210522</v>
      </c>
      <c r="W271" s="74">
        <f t="shared" si="282"/>
        <v>0.17123075947368421</v>
      </c>
      <c r="X271" s="74">
        <f t="shared" si="282"/>
        <v>0.17453120473684211</v>
      </c>
      <c r="Y271" s="74">
        <f t="shared" si="282"/>
        <v>0.17790288263157897</v>
      </c>
      <c r="Z271" s="74">
        <f t="shared" si="282"/>
        <v>0.18135766526315789</v>
      </c>
      <c r="AA271" s="74">
        <f t="shared" si="282"/>
        <v>0.18487180842105258</v>
      </c>
      <c r="AB271" s="74">
        <f t="shared" si="282"/>
        <v>0.1886827542105263</v>
      </c>
      <c r="AC271" s="74">
        <f t="shared" si="282"/>
        <v>0.19258867684210526</v>
      </c>
      <c r="AD271" s="74">
        <f t="shared" si="282"/>
        <v>0.19657770421052628</v>
      </c>
      <c r="AE271" s="74">
        <f t="shared" si="282"/>
        <v>0.2006498363157895</v>
      </c>
      <c r="AF271" s="74">
        <f t="shared" si="282"/>
        <v>0.20481694526315788</v>
      </c>
      <c r="AG271" s="74">
        <f t="shared" si="282"/>
        <v>0.20909090315789472</v>
      </c>
      <c r="AH271" s="74">
        <f t="shared" si="282"/>
        <v>0.2134479657894737</v>
      </c>
      <c r="AI271" s="74">
        <f t="shared" si="282"/>
        <v>0.2134479657894737</v>
      </c>
      <c r="AJ271" s="74">
        <f t="shared" si="282"/>
        <v>0.2134479657894737</v>
      </c>
      <c r="AK271" s="74">
        <f t="shared" si="282"/>
        <v>0.2134479657894737</v>
      </c>
      <c r="AL271" s="74">
        <f t="shared" si="282"/>
        <v>0.2134479657894737</v>
      </c>
      <c r="AM271" s="74">
        <f t="shared" si="282"/>
        <v>0.2134479657894737</v>
      </c>
      <c r="AN271" s="74">
        <f t="shared" si="282"/>
        <v>0.2134479657894737</v>
      </c>
      <c r="AO271" s="74">
        <f t="shared" si="282"/>
        <v>0.2134479657894737</v>
      </c>
      <c r="AP271" s="74">
        <f t="shared" si="282"/>
        <v>0.2134479657894737</v>
      </c>
      <c r="AQ271" s="74">
        <f t="shared" si="282"/>
        <v>0.2134479657894737</v>
      </c>
      <c r="AR271" s="74">
        <f t="shared" si="282"/>
        <v>0.2134479657894737</v>
      </c>
      <c r="AS271" s="74">
        <f t="shared" si="282"/>
        <v>0.2134479657894737</v>
      </c>
      <c r="AT271" s="74">
        <f t="shared" si="282"/>
        <v>0.2134479657894737</v>
      </c>
      <c r="AU271" s="74">
        <f t="shared" si="282"/>
        <v>0.2134479657894737</v>
      </c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</row>
    <row r="272" spans="1:67" ht="12.75" customHeight="1" x14ac:dyDescent="0.2">
      <c r="C272" s="27"/>
      <c r="D272" s="27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</row>
    <row r="273" spans="1:68" ht="12.75" customHeight="1" x14ac:dyDescent="0.2">
      <c r="C273" s="27"/>
      <c r="D273" s="27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</row>
    <row r="274" spans="1:68" ht="12.75" customHeight="1" x14ac:dyDescent="0.2">
      <c r="B274" s="17" t="s">
        <v>37</v>
      </c>
      <c r="F274" s="32"/>
      <c r="P274" s="23" t="s">
        <v>41</v>
      </c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</row>
    <row r="275" spans="1:68" ht="12.75" customHeight="1" x14ac:dyDescent="0.2">
      <c r="A275" s="115"/>
      <c r="B275" s="16"/>
      <c r="C275" s="23" t="s">
        <v>28</v>
      </c>
      <c r="D275" s="27" t="s">
        <v>491</v>
      </c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282">
        <f>R275*1000000/$R$266</f>
        <v>0.66324868247694724</v>
      </c>
      <c r="Q275" s="35"/>
      <c r="R275" s="69">
        <f>Q232</f>
        <v>0.49710024477569464</v>
      </c>
      <c r="S275" s="69">
        <f t="shared" ref="S275" si="283">R281</f>
        <v>0.4908124677778461</v>
      </c>
      <c r="T275" s="69">
        <f t="shared" ref="T275" si="284">S281</f>
        <v>0.48414742416012663</v>
      </c>
      <c r="U275" s="69">
        <f t="shared" ref="U275" si="285">T281</f>
        <v>0.47708247792534397</v>
      </c>
      <c r="V275" s="69">
        <f t="shared" ref="V275" si="286">U281</f>
        <v>0.46959363491647438</v>
      </c>
      <c r="W275" s="69">
        <f t="shared" ref="W275" si="287">V281</f>
        <v>0.46165546132707258</v>
      </c>
      <c r="X275" s="69">
        <f t="shared" ref="X275" si="288">W281</f>
        <v>0.45324099732230666</v>
      </c>
      <c r="Y275" s="69">
        <f t="shared" ref="Y275" si="289">X281</f>
        <v>0.44432166547725482</v>
      </c>
      <c r="Z275" s="69">
        <f t="shared" ref="Z275" si="290">Y281</f>
        <v>0.43486717372149986</v>
      </c>
      <c r="AA275" s="69">
        <f t="shared" ref="AA275" si="291">Z281</f>
        <v>0.42484541246039959</v>
      </c>
      <c r="AB275" s="69">
        <f t="shared" ref="AB275" si="292">AA281</f>
        <v>0.4142223455236333</v>
      </c>
      <c r="AC275" s="69">
        <f t="shared" ref="AC275" si="293">AB281</f>
        <v>0.40296189457066106</v>
      </c>
      <c r="AD275" s="69">
        <f t="shared" ref="AD275" si="294">AC281</f>
        <v>0.3910258165605105</v>
      </c>
      <c r="AE275" s="69">
        <f t="shared" ref="AE275" si="295">AD281</f>
        <v>0.3783735738697509</v>
      </c>
      <c r="AF275" s="69">
        <f t="shared" ref="AF275" si="296">AE281</f>
        <v>0.3649621966175457</v>
      </c>
      <c r="AG275" s="69">
        <f t="shared" ref="AG275" si="297">AF281</f>
        <v>0.35074613673020816</v>
      </c>
      <c r="AH275" s="69">
        <f t="shared" ref="AH275" si="298">AG281</f>
        <v>0.3356771132496304</v>
      </c>
      <c r="AI275" s="69">
        <f t="shared" ref="AI275" si="299">AH281</f>
        <v>0.31970394836021798</v>
      </c>
      <c r="AJ275" s="69">
        <f t="shared" ref="AJ275" si="300">AI281</f>
        <v>0.30277239357744079</v>
      </c>
      <c r="AK275" s="69">
        <f t="shared" ref="AK275" si="301">AJ281</f>
        <v>0.28482494550769699</v>
      </c>
      <c r="AL275" s="69">
        <f t="shared" ref="AL275" si="302">AK281</f>
        <v>0.26580065055376856</v>
      </c>
      <c r="AM275" s="69">
        <f t="shared" ref="AM275" si="303">AL281</f>
        <v>0.24563489790260443</v>
      </c>
      <c r="AN275" s="69">
        <f t="shared" ref="AN275" si="304">AM281</f>
        <v>0</v>
      </c>
      <c r="AO275" s="69">
        <f t="shared" ref="AO275" si="305">AN281</f>
        <v>0</v>
      </c>
      <c r="AP275" s="69">
        <f t="shared" ref="AP275" si="306">AO281</f>
        <v>0</v>
      </c>
      <c r="AQ275" s="69">
        <f t="shared" ref="AQ275" si="307">AP281</f>
        <v>0</v>
      </c>
      <c r="AR275" s="69">
        <f t="shared" ref="AR275" si="308">AQ281</f>
        <v>0</v>
      </c>
      <c r="AS275" s="69">
        <f t="shared" ref="AS275" si="309">AR281</f>
        <v>0</v>
      </c>
      <c r="AT275" s="69">
        <f t="shared" ref="AT275" si="310">AS281</f>
        <v>0</v>
      </c>
      <c r="AU275" s="69">
        <f t="shared" ref="AU275" si="311">AT281</f>
        <v>0</v>
      </c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</row>
    <row r="276" spans="1:68" ht="12.75" customHeight="1" x14ac:dyDescent="0.2">
      <c r="A276" s="115"/>
      <c r="B276" s="16"/>
      <c r="C276" s="23" t="s">
        <v>38</v>
      </c>
      <c r="D276" s="27" t="s">
        <v>491</v>
      </c>
      <c r="F276" s="47"/>
      <c r="G276" s="35"/>
      <c r="H276" s="35"/>
      <c r="I276" s="35"/>
      <c r="J276" s="35"/>
      <c r="K276" s="35"/>
      <c r="L276" s="35"/>
      <c r="M276" s="35"/>
      <c r="N276" s="35"/>
      <c r="O276" s="35"/>
      <c r="P276" s="282">
        <f>R276*1000000/$R$266</f>
        <v>4.8184294829158175E-2</v>
      </c>
      <c r="Q276" s="35"/>
      <c r="R276" s="70">
        <f>-PMT($E$192,$E$193,R275)</f>
        <v>3.6113791684390252E-2</v>
      </c>
      <c r="S276" s="70">
        <f t="shared" ref="S276" si="312">MIN(S275,R276)</f>
        <v>3.6113791684390252E-2</v>
      </c>
      <c r="T276" s="70">
        <f t="shared" ref="T276" si="313">MIN(T275,S276)</f>
        <v>3.6113791684390252E-2</v>
      </c>
      <c r="U276" s="70">
        <f t="shared" ref="U276" si="314">MIN(U275,T276)</f>
        <v>3.6113791684390252E-2</v>
      </c>
      <c r="V276" s="70">
        <f t="shared" ref="V276" si="315">MIN(V275,U276)</f>
        <v>3.6113791684390252E-2</v>
      </c>
      <c r="W276" s="70">
        <f t="shared" ref="W276" si="316">MIN(W275,V276)</f>
        <v>3.6113791684390252E-2</v>
      </c>
      <c r="X276" s="70">
        <f t="shared" ref="X276" si="317">MIN(X275,W276)</f>
        <v>3.6113791684390252E-2</v>
      </c>
      <c r="Y276" s="70">
        <f t="shared" ref="Y276" si="318">MIN(Y275,X276)</f>
        <v>3.6113791684390252E-2</v>
      </c>
      <c r="Z276" s="70">
        <f t="shared" ref="Z276" si="319">MIN(Z275,Y276)</f>
        <v>3.6113791684390252E-2</v>
      </c>
      <c r="AA276" s="70">
        <f t="shared" ref="AA276" si="320">MIN(AA275,Z276)</f>
        <v>3.6113791684390252E-2</v>
      </c>
      <c r="AB276" s="70">
        <f t="shared" ref="AB276" si="321">MIN(AB275,AA276)</f>
        <v>3.6113791684390252E-2</v>
      </c>
      <c r="AC276" s="70">
        <f t="shared" ref="AC276" si="322">MIN(AC275,AB276)</f>
        <v>3.6113791684390252E-2</v>
      </c>
      <c r="AD276" s="70">
        <f t="shared" ref="AD276" si="323">MIN(AD275,AC276)</f>
        <v>3.6113791684390252E-2</v>
      </c>
      <c r="AE276" s="70">
        <f t="shared" ref="AE276" si="324">MIN(AE275,AD276)</f>
        <v>3.6113791684390252E-2</v>
      </c>
      <c r="AF276" s="70">
        <f t="shared" ref="AF276" si="325">MIN(AF275,AE276)</f>
        <v>3.6113791684390252E-2</v>
      </c>
      <c r="AG276" s="70">
        <f t="shared" ref="AG276" si="326">MIN(AG275,AF276)</f>
        <v>3.6113791684390252E-2</v>
      </c>
      <c r="AH276" s="70">
        <f t="shared" ref="AH276" si="327">MIN(AH275,AG276)</f>
        <v>3.6113791684390252E-2</v>
      </c>
      <c r="AI276" s="70">
        <f t="shared" ref="AI276" si="328">MIN(AI275,AH276)</f>
        <v>3.6113791684390252E-2</v>
      </c>
      <c r="AJ276" s="70">
        <f t="shared" ref="AJ276" si="329">MIN(AJ275,AI276)</f>
        <v>3.6113791684390252E-2</v>
      </c>
      <c r="AK276" s="70">
        <f t="shared" ref="AK276" si="330">MIN(AK275,AJ276)</f>
        <v>3.6113791684390252E-2</v>
      </c>
      <c r="AL276" s="70">
        <f t="shared" ref="AL276" si="331">MIN(AL275,AK276)</f>
        <v>3.6113791684390252E-2</v>
      </c>
      <c r="AM276" s="70">
        <f t="shared" ref="AM276" si="332">MIN(AM275,AL276)</f>
        <v>3.6113791684390252E-2</v>
      </c>
      <c r="AN276" s="70">
        <f t="shared" ref="AN276" si="333">MIN(AN275,AM276)</f>
        <v>0</v>
      </c>
      <c r="AO276" s="70">
        <f t="shared" ref="AO276" si="334">MIN(AO275,AN276)</f>
        <v>0</v>
      </c>
      <c r="AP276" s="70">
        <f t="shared" ref="AP276" si="335">MIN(AP275,AO276)</f>
        <v>0</v>
      </c>
      <c r="AQ276" s="70">
        <f t="shared" ref="AQ276" si="336">MIN(AQ275,AP276)</f>
        <v>0</v>
      </c>
      <c r="AR276" s="70">
        <f t="shared" ref="AR276" si="337">MIN(AR275,AQ276)</f>
        <v>0</v>
      </c>
      <c r="AS276" s="70">
        <f t="shared" ref="AS276" si="338">MIN(AS275,AR276)</f>
        <v>0</v>
      </c>
      <c r="AT276" s="70">
        <f t="shared" ref="AT276" si="339">MIN(AT275,AS276)</f>
        <v>0</v>
      </c>
      <c r="AU276" s="70">
        <f t="shared" ref="AU276" si="340">MIN(AU275,AT276)</f>
        <v>0</v>
      </c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</row>
    <row r="277" spans="1:68" ht="12.75" customHeight="1" x14ac:dyDescent="0.2">
      <c r="A277" s="115"/>
      <c r="B277" s="16"/>
      <c r="C277" s="38" t="s">
        <v>15</v>
      </c>
      <c r="D277" s="27" t="s">
        <v>491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69">
        <f>R275*$E$192</f>
        <v>2.9826014686541679E-2</v>
      </c>
      <c r="S277" s="69">
        <f>S275*$E$192</f>
        <v>2.9448748066670763E-2</v>
      </c>
      <c r="T277" s="69">
        <f t="shared" ref="T277:AU277" si="341">T275*$E$192</f>
        <v>2.9048845449607598E-2</v>
      </c>
      <c r="U277" s="69">
        <f t="shared" si="341"/>
        <v>2.8624948675520637E-2</v>
      </c>
      <c r="V277" s="69">
        <f t="shared" si="341"/>
        <v>2.8175618094988461E-2</v>
      </c>
      <c r="W277" s="69">
        <f t="shared" si="341"/>
        <v>2.7699327679624353E-2</v>
      </c>
      <c r="X277" s="69">
        <f t="shared" si="341"/>
        <v>2.7194459839338398E-2</v>
      </c>
      <c r="Y277" s="69">
        <f t="shared" si="341"/>
        <v>2.6659299928635288E-2</v>
      </c>
      <c r="Z277" s="69">
        <f t="shared" si="341"/>
        <v>2.6092030423289992E-2</v>
      </c>
      <c r="AA277" s="69">
        <f t="shared" si="341"/>
        <v>2.5490724747623972E-2</v>
      </c>
      <c r="AB277" s="69">
        <f t="shared" si="341"/>
        <v>2.4853340731417997E-2</v>
      </c>
      <c r="AC277" s="69">
        <f t="shared" si="341"/>
        <v>2.4177713674239664E-2</v>
      </c>
      <c r="AD277" s="69">
        <f t="shared" si="341"/>
        <v>2.3461548993630628E-2</v>
      </c>
      <c r="AE277" s="69">
        <f t="shared" si="341"/>
        <v>2.2702414432185052E-2</v>
      </c>
      <c r="AF277" s="69">
        <f t="shared" si="341"/>
        <v>2.189773179705274E-2</v>
      </c>
      <c r="AG277" s="69">
        <f t="shared" si="341"/>
        <v>2.104476820381249E-2</v>
      </c>
      <c r="AH277" s="69">
        <f t="shared" si="341"/>
        <v>2.0140626794977825E-2</v>
      </c>
      <c r="AI277" s="69">
        <f t="shared" si="341"/>
        <v>1.9182236901613078E-2</v>
      </c>
      <c r="AJ277" s="69">
        <f t="shared" si="341"/>
        <v>1.8166343614646446E-2</v>
      </c>
      <c r="AK277" s="69">
        <f t="shared" si="341"/>
        <v>1.7089496730461819E-2</v>
      </c>
      <c r="AL277" s="69">
        <f t="shared" si="341"/>
        <v>1.5948039033226113E-2</v>
      </c>
      <c r="AM277" s="69">
        <f t="shared" si="341"/>
        <v>1.4738093874156265E-2</v>
      </c>
      <c r="AN277" s="69">
        <f t="shared" si="341"/>
        <v>0</v>
      </c>
      <c r="AO277" s="69">
        <f t="shared" si="341"/>
        <v>0</v>
      </c>
      <c r="AP277" s="69">
        <f t="shared" si="341"/>
        <v>0</v>
      </c>
      <c r="AQ277" s="69">
        <f t="shared" si="341"/>
        <v>0</v>
      </c>
      <c r="AR277" s="69">
        <f t="shared" si="341"/>
        <v>0</v>
      </c>
      <c r="AS277" s="69">
        <f t="shared" si="341"/>
        <v>0</v>
      </c>
      <c r="AT277" s="69">
        <f t="shared" si="341"/>
        <v>0</v>
      </c>
      <c r="AU277" s="69">
        <f t="shared" si="341"/>
        <v>0</v>
      </c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</row>
    <row r="278" spans="1:68" ht="12.75" customHeight="1" x14ac:dyDescent="0.2">
      <c r="A278" s="115"/>
      <c r="C278" s="38" t="s">
        <v>228</v>
      </c>
      <c r="D278" s="27" t="s">
        <v>491</v>
      </c>
      <c r="F278" s="38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69">
        <f t="shared" ref="R278:S278" si="342">R276-R277</f>
        <v>6.287776997848573E-3</v>
      </c>
      <c r="S278" s="69">
        <f t="shared" si="342"/>
        <v>6.6650436177194891E-3</v>
      </c>
      <c r="T278" s="69">
        <f t="shared" ref="T278:AU278" si="343">T276-T277</f>
        <v>7.0649462347826542E-3</v>
      </c>
      <c r="U278" s="69">
        <f t="shared" si="343"/>
        <v>7.4888430088696153E-3</v>
      </c>
      <c r="V278" s="69">
        <f t="shared" si="343"/>
        <v>7.938173589401791E-3</v>
      </c>
      <c r="W278" s="69">
        <f t="shared" si="343"/>
        <v>8.4144640047658995E-3</v>
      </c>
      <c r="X278" s="69">
        <f t="shared" si="343"/>
        <v>8.919331845051854E-3</v>
      </c>
      <c r="Y278" s="69">
        <f t="shared" si="343"/>
        <v>9.4544917557549644E-3</v>
      </c>
      <c r="Z278" s="69">
        <f t="shared" si="343"/>
        <v>1.002176126110026E-2</v>
      </c>
      <c r="AA278" s="69">
        <f t="shared" si="343"/>
        <v>1.062306693676628E-2</v>
      </c>
      <c r="AB278" s="69">
        <f t="shared" si="343"/>
        <v>1.1260450952972255E-2</v>
      </c>
      <c r="AC278" s="69">
        <f t="shared" si="343"/>
        <v>1.1936078010150588E-2</v>
      </c>
      <c r="AD278" s="69">
        <f t="shared" si="343"/>
        <v>1.2652242690759624E-2</v>
      </c>
      <c r="AE278" s="69">
        <f t="shared" si="343"/>
        <v>1.34113772522052E-2</v>
      </c>
      <c r="AF278" s="69">
        <f t="shared" si="343"/>
        <v>1.4216059887337512E-2</v>
      </c>
      <c r="AG278" s="69">
        <f t="shared" si="343"/>
        <v>1.5069023480577762E-2</v>
      </c>
      <c r="AH278" s="69">
        <f t="shared" si="343"/>
        <v>1.5973164889412427E-2</v>
      </c>
      <c r="AI278" s="69">
        <f t="shared" si="343"/>
        <v>1.6931554782777174E-2</v>
      </c>
      <c r="AJ278" s="69">
        <f t="shared" si="343"/>
        <v>1.7947448069743806E-2</v>
      </c>
      <c r="AK278" s="69">
        <f t="shared" si="343"/>
        <v>1.9024294953928433E-2</v>
      </c>
      <c r="AL278" s="69">
        <f t="shared" si="343"/>
        <v>2.0165752651164139E-2</v>
      </c>
      <c r="AM278" s="69">
        <f t="shared" si="343"/>
        <v>2.1375697810233987E-2</v>
      </c>
      <c r="AN278" s="69">
        <f t="shared" si="343"/>
        <v>0</v>
      </c>
      <c r="AO278" s="69">
        <f t="shared" si="343"/>
        <v>0</v>
      </c>
      <c r="AP278" s="69">
        <f t="shared" si="343"/>
        <v>0</v>
      </c>
      <c r="AQ278" s="69">
        <f t="shared" si="343"/>
        <v>0</v>
      </c>
      <c r="AR278" s="69">
        <f t="shared" si="343"/>
        <v>0</v>
      </c>
      <c r="AS278" s="69">
        <f t="shared" si="343"/>
        <v>0</v>
      </c>
      <c r="AT278" s="69">
        <f t="shared" si="343"/>
        <v>0</v>
      </c>
      <c r="AU278" s="69">
        <f t="shared" si="343"/>
        <v>0</v>
      </c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</row>
    <row r="279" spans="1:68" ht="12.75" customHeight="1" x14ac:dyDescent="0.2">
      <c r="A279" s="115"/>
      <c r="C279" s="23" t="s">
        <v>534</v>
      </c>
      <c r="D279" s="27" t="s">
        <v>491</v>
      </c>
      <c r="F279" s="38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69">
        <f>R275-R278</f>
        <v>0.4908124677778461</v>
      </c>
      <c r="S279" s="69">
        <f t="shared" ref="S279:AU279" si="344">S275-S278</f>
        <v>0.48414742416012663</v>
      </c>
      <c r="T279" s="69">
        <f t="shared" si="344"/>
        <v>0.47708247792534397</v>
      </c>
      <c r="U279" s="69">
        <f t="shared" si="344"/>
        <v>0.46959363491647438</v>
      </c>
      <c r="V279" s="69">
        <f t="shared" si="344"/>
        <v>0.46165546132707258</v>
      </c>
      <c r="W279" s="69">
        <f t="shared" si="344"/>
        <v>0.45324099732230666</v>
      </c>
      <c r="X279" s="69">
        <f t="shared" si="344"/>
        <v>0.44432166547725482</v>
      </c>
      <c r="Y279" s="69">
        <f t="shared" si="344"/>
        <v>0.43486717372149986</v>
      </c>
      <c r="Z279" s="69">
        <f t="shared" si="344"/>
        <v>0.42484541246039959</v>
      </c>
      <c r="AA279" s="69">
        <f t="shared" si="344"/>
        <v>0.4142223455236333</v>
      </c>
      <c r="AB279" s="69">
        <f t="shared" si="344"/>
        <v>0.40296189457066106</v>
      </c>
      <c r="AC279" s="69">
        <f t="shared" si="344"/>
        <v>0.3910258165605105</v>
      </c>
      <c r="AD279" s="69">
        <f t="shared" si="344"/>
        <v>0.3783735738697509</v>
      </c>
      <c r="AE279" s="69">
        <f t="shared" si="344"/>
        <v>0.3649621966175457</v>
      </c>
      <c r="AF279" s="69">
        <f t="shared" si="344"/>
        <v>0.35074613673020816</v>
      </c>
      <c r="AG279" s="69">
        <f t="shared" si="344"/>
        <v>0.3356771132496304</v>
      </c>
      <c r="AH279" s="69">
        <f t="shared" si="344"/>
        <v>0.31970394836021798</v>
      </c>
      <c r="AI279" s="69">
        <f t="shared" si="344"/>
        <v>0.30277239357744079</v>
      </c>
      <c r="AJ279" s="69">
        <f t="shared" si="344"/>
        <v>0.28482494550769699</v>
      </c>
      <c r="AK279" s="69">
        <f t="shared" si="344"/>
        <v>0.26580065055376856</v>
      </c>
      <c r="AL279" s="69">
        <f t="shared" si="344"/>
        <v>0.24563489790260443</v>
      </c>
      <c r="AM279" s="69">
        <f t="shared" si="344"/>
        <v>0.22425920009237044</v>
      </c>
      <c r="AN279" s="69">
        <f t="shared" si="344"/>
        <v>0</v>
      </c>
      <c r="AO279" s="69">
        <f t="shared" si="344"/>
        <v>0</v>
      </c>
      <c r="AP279" s="69">
        <f t="shared" si="344"/>
        <v>0</v>
      </c>
      <c r="AQ279" s="69">
        <f t="shared" si="344"/>
        <v>0</v>
      </c>
      <c r="AR279" s="69">
        <f t="shared" si="344"/>
        <v>0</v>
      </c>
      <c r="AS279" s="69">
        <f t="shared" si="344"/>
        <v>0</v>
      </c>
      <c r="AT279" s="69">
        <f t="shared" si="344"/>
        <v>0</v>
      </c>
      <c r="AU279" s="69">
        <f t="shared" si="344"/>
        <v>0</v>
      </c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</row>
    <row r="280" spans="1:68" ht="12.75" customHeight="1" x14ac:dyDescent="0.2">
      <c r="A280" s="115"/>
      <c r="C280" s="38" t="s">
        <v>527</v>
      </c>
      <c r="D280" s="27" t="s">
        <v>491</v>
      </c>
      <c r="F280" s="38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69">
        <f t="shared" ref="R280:AP280" si="345">R296</f>
        <v>0</v>
      </c>
      <c r="S280" s="69">
        <f t="shared" si="345"/>
        <v>0</v>
      </c>
      <c r="T280" s="69">
        <f t="shared" si="345"/>
        <v>0</v>
      </c>
      <c r="U280" s="69">
        <f t="shared" si="345"/>
        <v>0</v>
      </c>
      <c r="V280" s="69">
        <f t="shared" si="345"/>
        <v>0</v>
      </c>
      <c r="W280" s="69">
        <f t="shared" si="345"/>
        <v>0</v>
      </c>
      <c r="X280" s="69">
        <f t="shared" si="345"/>
        <v>0</v>
      </c>
      <c r="Y280" s="69">
        <f t="shared" si="345"/>
        <v>0</v>
      </c>
      <c r="Z280" s="69">
        <f t="shared" si="345"/>
        <v>0</v>
      </c>
      <c r="AA280" s="69">
        <f t="shared" si="345"/>
        <v>0</v>
      </c>
      <c r="AB280" s="69">
        <f t="shared" si="345"/>
        <v>0</v>
      </c>
      <c r="AC280" s="69">
        <f t="shared" si="345"/>
        <v>0</v>
      </c>
      <c r="AD280" s="69">
        <f t="shared" si="345"/>
        <v>0</v>
      </c>
      <c r="AE280" s="69">
        <f t="shared" si="345"/>
        <v>0</v>
      </c>
      <c r="AF280" s="69">
        <f t="shared" si="345"/>
        <v>0</v>
      </c>
      <c r="AG280" s="69">
        <f t="shared" si="345"/>
        <v>0</v>
      </c>
      <c r="AH280" s="69">
        <f t="shared" si="345"/>
        <v>0</v>
      </c>
      <c r="AI280" s="69">
        <f t="shared" si="345"/>
        <v>0</v>
      </c>
      <c r="AJ280" s="69">
        <f t="shared" si="345"/>
        <v>0</v>
      </c>
      <c r="AK280" s="69">
        <f t="shared" si="345"/>
        <v>0</v>
      </c>
      <c r="AL280" s="69">
        <f t="shared" si="345"/>
        <v>0</v>
      </c>
      <c r="AM280" s="69">
        <f t="shared" si="345"/>
        <v>0.22425920009237044</v>
      </c>
      <c r="AN280" s="69">
        <f t="shared" si="345"/>
        <v>0</v>
      </c>
      <c r="AO280" s="69">
        <f t="shared" si="345"/>
        <v>0</v>
      </c>
      <c r="AP280" s="69">
        <f t="shared" si="345"/>
        <v>0</v>
      </c>
      <c r="AQ280" s="69">
        <f>AQ296</f>
        <v>0</v>
      </c>
      <c r="AR280" s="69">
        <f t="shared" ref="AR280:AU280" si="346">AR296</f>
        <v>0</v>
      </c>
      <c r="AS280" s="69">
        <f t="shared" si="346"/>
        <v>0</v>
      </c>
      <c r="AT280" s="69">
        <f t="shared" si="346"/>
        <v>0</v>
      </c>
      <c r="AU280" s="69">
        <f t="shared" si="346"/>
        <v>0</v>
      </c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</row>
    <row r="281" spans="1:68" ht="12.75" customHeight="1" x14ac:dyDescent="0.2">
      <c r="A281" s="115"/>
      <c r="C281" s="23" t="s">
        <v>29</v>
      </c>
      <c r="D281" s="27" t="s">
        <v>491</v>
      </c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69">
        <f>R279-R280</f>
        <v>0.4908124677778461</v>
      </c>
      <c r="S281" s="69">
        <f t="shared" ref="S281:AU281" si="347">S279-S280</f>
        <v>0.48414742416012663</v>
      </c>
      <c r="T281" s="69">
        <f t="shared" si="347"/>
        <v>0.47708247792534397</v>
      </c>
      <c r="U281" s="69">
        <f t="shared" si="347"/>
        <v>0.46959363491647438</v>
      </c>
      <c r="V281" s="69">
        <f t="shared" si="347"/>
        <v>0.46165546132707258</v>
      </c>
      <c r="W281" s="69">
        <f t="shared" si="347"/>
        <v>0.45324099732230666</v>
      </c>
      <c r="X281" s="69">
        <f t="shared" si="347"/>
        <v>0.44432166547725482</v>
      </c>
      <c r="Y281" s="69">
        <f t="shared" si="347"/>
        <v>0.43486717372149986</v>
      </c>
      <c r="Z281" s="69">
        <f t="shared" si="347"/>
        <v>0.42484541246039959</v>
      </c>
      <c r="AA281" s="69">
        <f t="shared" si="347"/>
        <v>0.4142223455236333</v>
      </c>
      <c r="AB281" s="69">
        <f t="shared" si="347"/>
        <v>0.40296189457066106</v>
      </c>
      <c r="AC281" s="69">
        <f t="shared" si="347"/>
        <v>0.3910258165605105</v>
      </c>
      <c r="AD281" s="69">
        <f t="shared" si="347"/>
        <v>0.3783735738697509</v>
      </c>
      <c r="AE281" s="69">
        <f t="shared" si="347"/>
        <v>0.3649621966175457</v>
      </c>
      <c r="AF281" s="69">
        <f t="shared" si="347"/>
        <v>0.35074613673020816</v>
      </c>
      <c r="AG281" s="69">
        <f t="shared" si="347"/>
        <v>0.3356771132496304</v>
      </c>
      <c r="AH281" s="69">
        <f t="shared" si="347"/>
        <v>0.31970394836021798</v>
      </c>
      <c r="AI281" s="69">
        <f t="shared" si="347"/>
        <v>0.30277239357744079</v>
      </c>
      <c r="AJ281" s="69">
        <f t="shared" si="347"/>
        <v>0.28482494550769699</v>
      </c>
      <c r="AK281" s="69">
        <f t="shared" si="347"/>
        <v>0.26580065055376856</v>
      </c>
      <c r="AL281" s="69">
        <f t="shared" si="347"/>
        <v>0.24563489790260443</v>
      </c>
      <c r="AM281" s="69">
        <f t="shared" si="347"/>
        <v>0</v>
      </c>
      <c r="AN281" s="69">
        <f t="shared" si="347"/>
        <v>0</v>
      </c>
      <c r="AO281" s="69">
        <f t="shared" si="347"/>
        <v>0</v>
      </c>
      <c r="AP281" s="69">
        <f t="shared" si="347"/>
        <v>0</v>
      </c>
      <c r="AQ281" s="69">
        <f t="shared" si="347"/>
        <v>0</v>
      </c>
      <c r="AR281" s="69">
        <f t="shared" si="347"/>
        <v>0</v>
      </c>
      <c r="AS281" s="69">
        <f t="shared" si="347"/>
        <v>0</v>
      </c>
      <c r="AT281" s="69">
        <f t="shared" si="347"/>
        <v>0</v>
      </c>
      <c r="AU281" s="69">
        <f t="shared" si="347"/>
        <v>0</v>
      </c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</row>
    <row r="282" spans="1:68" ht="12.75" customHeight="1" x14ac:dyDescent="0.2">
      <c r="A282" s="11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</row>
    <row r="283" spans="1:68" ht="12.75" customHeight="1" x14ac:dyDescent="0.2">
      <c r="A283" s="11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</row>
    <row r="284" spans="1:68" ht="12.75" customHeight="1" x14ac:dyDescent="0.2">
      <c r="B284" s="28" t="s">
        <v>233</v>
      </c>
      <c r="C284" s="27"/>
      <c r="D284" s="27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</row>
    <row r="285" spans="1:68" ht="12.75" customHeight="1" x14ac:dyDescent="0.2">
      <c r="C285" s="27" t="s">
        <v>234</v>
      </c>
      <c r="D285" s="27" t="s">
        <v>491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58">
        <f>Q233</f>
        <v>0</v>
      </c>
      <c r="S285" s="58">
        <f>R287</f>
        <v>0</v>
      </c>
      <c r="T285" s="58">
        <f t="shared" ref="T285" si="348">S287</f>
        <v>0</v>
      </c>
      <c r="U285" s="58">
        <f t="shared" ref="U285" si="349">T287</f>
        <v>0</v>
      </c>
      <c r="V285" s="58">
        <f t="shared" ref="V285" si="350">U287</f>
        <v>0</v>
      </c>
      <c r="W285" s="58">
        <f t="shared" ref="W285" si="351">V287</f>
        <v>0</v>
      </c>
      <c r="X285" s="58">
        <f t="shared" ref="X285" si="352">W287</f>
        <v>0</v>
      </c>
      <c r="Y285" s="58">
        <f t="shared" ref="Y285" si="353">X287</f>
        <v>0</v>
      </c>
      <c r="Z285" s="58">
        <f t="shared" ref="Z285" si="354">Y287</f>
        <v>0</v>
      </c>
      <c r="AA285" s="58">
        <f t="shared" ref="AA285" si="355">Z287</f>
        <v>0</v>
      </c>
      <c r="AB285" s="58">
        <f t="shared" ref="AB285" si="356">AA287</f>
        <v>0</v>
      </c>
      <c r="AC285" s="58">
        <f t="shared" ref="AC285" si="357">AB287</f>
        <v>0</v>
      </c>
      <c r="AD285" s="58">
        <f t="shared" ref="AD285" si="358">AC287</f>
        <v>0</v>
      </c>
      <c r="AE285" s="58">
        <f t="shared" ref="AE285" si="359">AD287</f>
        <v>0</v>
      </c>
      <c r="AF285" s="58">
        <f t="shared" ref="AF285" si="360">AE287</f>
        <v>0</v>
      </c>
      <c r="AG285" s="58">
        <f t="shared" ref="AG285" si="361">AF287</f>
        <v>0</v>
      </c>
      <c r="AH285" s="58">
        <f t="shared" ref="AH285" si="362">AG287</f>
        <v>0</v>
      </c>
      <c r="AI285" s="58">
        <f t="shared" ref="AI285" si="363">AH287</f>
        <v>0</v>
      </c>
      <c r="AJ285" s="58">
        <f t="shared" ref="AJ285" si="364">AI287</f>
        <v>0</v>
      </c>
      <c r="AK285" s="58">
        <f t="shared" ref="AK285" si="365">AJ287</f>
        <v>0</v>
      </c>
      <c r="AL285" s="58">
        <f t="shared" ref="AL285" si="366">AK287</f>
        <v>0</v>
      </c>
      <c r="AM285" s="58">
        <f t="shared" ref="AM285" si="367">AL287</f>
        <v>0</v>
      </c>
      <c r="AN285" s="58">
        <f t="shared" ref="AN285" si="368">AM287</f>
        <v>0</v>
      </c>
      <c r="AO285" s="58">
        <f t="shared" ref="AO285" si="369">AN287</f>
        <v>0</v>
      </c>
      <c r="AP285" s="58">
        <f t="shared" ref="AP285" si="370">AO287</f>
        <v>0</v>
      </c>
      <c r="AQ285" s="58">
        <f t="shared" ref="AQ285" si="371">AP287</f>
        <v>0</v>
      </c>
      <c r="AR285" s="58">
        <f t="shared" ref="AR285" si="372">AQ287</f>
        <v>0</v>
      </c>
      <c r="AS285" s="58">
        <f t="shared" ref="AS285" si="373">AR287</f>
        <v>0</v>
      </c>
      <c r="AT285" s="58">
        <f t="shared" ref="AT285" si="374">AS287</f>
        <v>0</v>
      </c>
      <c r="AU285" s="58">
        <f t="shared" ref="AU285" si="375">AT287</f>
        <v>0</v>
      </c>
      <c r="AV285" s="58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</row>
    <row r="286" spans="1:68" ht="12.75" customHeight="1" x14ac:dyDescent="0.2">
      <c r="C286" s="27" t="s">
        <v>235</v>
      </c>
      <c r="D286" s="27" t="s">
        <v>491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58">
        <f>0</f>
        <v>0</v>
      </c>
      <c r="S286" s="58">
        <f>0</f>
        <v>0</v>
      </c>
      <c r="T286" s="58">
        <f>0</f>
        <v>0</v>
      </c>
      <c r="U286" s="58">
        <f>0</f>
        <v>0</v>
      </c>
      <c r="V286" s="58">
        <f>0</f>
        <v>0</v>
      </c>
      <c r="W286" s="58">
        <f>0</f>
        <v>0</v>
      </c>
      <c r="X286" s="58">
        <f>0</f>
        <v>0</v>
      </c>
      <c r="Y286" s="58">
        <f>0</f>
        <v>0</v>
      </c>
      <c r="Z286" s="58">
        <f>0</f>
        <v>0</v>
      </c>
      <c r="AA286" s="58">
        <f>0</f>
        <v>0</v>
      </c>
      <c r="AB286" s="58">
        <f>0</f>
        <v>0</v>
      </c>
      <c r="AC286" s="58">
        <f>0</f>
        <v>0</v>
      </c>
      <c r="AD286" s="58">
        <f>0</f>
        <v>0</v>
      </c>
      <c r="AE286" s="58">
        <f>0</f>
        <v>0</v>
      </c>
      <c r="AF286" s="58">
        <f>0</f>
        <v>0</v>
      </c>
      <c r="AG286" s="58">
        <f>0</f>
        <v>0</v>
      </c>
      <c r="AH286" s="58">
        <f>0</f>
        <v>0</v>
      </c>
      <c r="AI286" s="58">
        <f>0</f>
        <v>0</v>
      </c>
      <c r="AJ286" s="58">
        <f>0</f>
        <v>0</v>
      </c>
      <c r="AK286" s="58">
        <f>0</f>
        <v>0</v>
      </c>
      <c r="AL286" s="58">
        <f>0</f>
        <v>0</v>
      </c>
      <c r="AM286" s="58">
        <f>0</f>
        <v>0</v>
      </c>
      <c r="AN286" s="58">
        <f>0</f>
        <v>0</v>
      </c>
      <c r="AO286" s="58">
        <f>0</f>
        <v>0</v>
      </c>
      <c r="AP286" s="58">
        <f>0</f>
        <v>0</v>
      </c>
      <c r="AQ286" s="58">
        <f>0</f>
        <v>0</v>
      </c>
      <c r="AR286" s="58">
        <f>0</f>
        <v>0</v>
      </c>
      <c r="AS286" s="58">
        <f>0</f>
        <v>0</v>
      </c>
      <c r="AT286" s="58">
        <f>0</f>
        <v>0</v>
      </c>
      <c r="AU286" s="129">
        <f>AU285</f>
        <v>0</v>
      </c>
      <c r="AV286" s="58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</row>
    <row r="287" spans="1:68" ht="12.75" customHeight="1" x14ac:dyDescent="0.2">
      <c r="C287" s="27" t="s">
        <v>236</v>
      </c>
      <c r="D287" s="27" t="s">
        <v>491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58">
        <f>R285-R286</f>
        <v>0</v>
      </c>
      <c r="S287" s="58">
        <f>S285-S286</f>
        <v>0</v>
      </c>
      <c r="T287" s="58">
        <f t="shared" ref="T287:AU287" si="376">T285-T286</f>
        <v>0</v>
      </c>
      <c r="U287" s="58">
        <f t="shared" si="376"/>
        <v>0</v>
      </c>
      <c r="V287" s="58">
        <f t="shared" si="376"/>
        <v>0</v>
      </c>
      <c r="W287" s="58">
        <f t="shared" si="376"/>
        <v>0</v>
      </c>
      <c r="X287" s="58">
        <f t="shared" si="376"/>
        <v>0</v>
      </c>
      <c r="Y287" s="58">
        <f t="shared" si="376"/>
        <v>0</v>
      </c>
      <c r="Z287" s="58">
        <f t="shared" si="376"/>
        <v>0</v>
      </c>
      <c r="AA287" s="58">
        <f t="shared" si="376"/>
        <v>0</v>
      </c>
      <c r="AB287" s="58">
        <f t="shared" si="376"/>
        <v>0</v>
      </c>
      <c r="AC287" s="58">
        <f t="shared" si="376"/>
        <v>0</v>
      </c>
      <c r="AD287" s="58">
        <f t="shared" si="376"/>
        <v>0</v>
      </c>
      <c r="AE287" s="58">
        <f t="shared" si="376"/>
        <v>0</v>
      </c>
      <c r="AF287" s="58">
        <f t="shared" si="376"/>
        <v>0</v>
      </c>
      <c r="AG287" s="58">
        <f t="shared" si="376"/>
        <v>0</v>
      </c>
      <c r="AH287" s="58">
        <f t="shared" si="376"/>
        <v>0</v>
      </c>
      <c r="AI287" s="58">
        <f t="shared" si="376"/>
        <v>0</v>
      </c>
      <c r="AJ287" s="58">
        <f t="shared" si="376"/>
        <v>0</v>
      </c>
      <c r="AK287" s="58">
        <f t="shared" si="376"/>
        <v>0</v>
      </c>
      <c r="AL287" s="58">
        <f t="shared" si="376"/>
        <v>0</v>
      </c>
      <c r="AM287" s="58">
        <f t="shared" si="376"/>
        <v>0</v>
      </c>
      <c r="AN287" s="58">
        <f t="shared" si="376"/>
        <v>0</v>
      </c>
      <c r="AO287" s="58">
        <f t="shared" si="376"/>
        <v>0</v>
      </c>
      <c r="AP287" s="58">
        <f t="shared" si="376"/>
        <v>0</v>
      </c>
      <c r="AQ287" s="58">
        <f t="shared" si="376"/>
        <v>0</v>
      </c>
      <c r="AR287" s="58">
        <f t="shared" si="376"/>
        <v>0</v>
      </c>
      <c r="AS287" s="58">
        <f t="shared" si="376"/>
        <v>0</v>
      </c>
      <c r="AT287" s="58">
        <f t="shared" si="376"/>
        <v>0</v>
      </c>
      <c r="AU287" s="58">
        <f t="shared" si="376"/>
        <v>0</v>
      </c>
      <c r="AV287" s="58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</row>
    <row r="288" spans="1:68" ht="12.75" customHeight="1" x14ac:dyDescent="0.2">
      <c r="C288" s="27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58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</row>
    <row r="289" spans="2:67" ht="12.75" customHeight="1" x14ac:dyDescent="0.2">
      <c r="B289" s="28" t="s">
        <v>237</v>
      </c>
      <c r="C289" s="27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58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</row>
    <row r="290" spans="2:67" ht="12.75" customHeight="1" x14ac:dyDescent="0.2">
      <c r="C290" s="27" t="s">
        <v>238</v>
      </c>
      <c r="D290" s="27" t="s">
        <v>491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58">
        <v>0</v>
      </c>
      <c r="S290" s="122">
        <f>R298</f>
        <v>6.7131555845571754E-3</v>
      </c>
      <c r="T290" s="122">
        <f t="shared" ref="T290:AU290" si="377">S298</f>
        <v>1.3665365002125411E-2</v>
      </c>
      <c r="U290" s="122">
        <f t="shared" si="377"/>
        <v>2.087496503151616E-2</v>
      </c>
      <c r="V290" s="122">
        <f t="shared" si="377"/>
        <v>2.8361295254639547E-2</v>
      </c>
      <c r="W290" s="122">
        <f t="shared" si="377"/>
        <v>3.614476060038857E-2</v>
      </c>
      <c r="X290" s="122">
        <f t="shared" si="377"/>
        <v>4.424689758321252E-2</v>
      </c>
      <c r="Y290" s="122">
        <f t="shared" si="377"/>
        <v>5.2690444459474184E-2</v>
      </c>
      <c r="Z290" s="122">
        <f t="shared" si="377"/>
        <v>6.14994155380367E-2</v>
      </c>
      <c r="AA290" s="122">
        <f t="shared" si="377"/>
        <v>7.0699179895678962E-2</v>
      </c>
      <c r="AB290" s="122">
        <f t="shared" si="377"/>
        <v>8.0316544762941713E-2</v>
      </c>
      <c r="AC290" s="122">
        <f t="shared" si="377"/>
        <v>9.0379843861910419E-2</v>
      </c>
      <c r="AD290" s="122">
        <f t="shared" si="377"/>
        <v>0.10091903099430037</v>
      </c>
      <c r="AE290" s="122">
        <f t="shared" si="377"/>
        <v>0.11196577919608067</v>
      </c>
      <c r="AF290" s="122">
        <f t="shared" si="377"/>
        <v>0.12355358579381845</v>
      </c>
      <c r="AG290" s="122">
        <f t="shared" si="377"/>
        <v>0.13571788371800653</v>
      </c>
      <c r="AH290" s="122">
        <f t="shared" si="377"/>
        <v>0.14849615944992495</v>
      </c>
      <c r="AI290" s="122">
        <f t="shared" si="377"/>
        <v>0.16192807800115266</v>
      </c>
      <c r="AJ290" s="122">
        <f t="shared" si="377"/>
        <v>0.17605561534876546</v>
      </c>
      <c r="AK290" s="122">
        <f t="shared" si="377"/>
        <v>0.190923198774612</v>
      </c>
      <c r="AL290" s="122">
        <f t="shared" si="377"/>
        <v>0.2065778555839381</v>
      </c>
      <c r="AM290" s="122">
        <f t="shared" si="377"/>
        <v>0.2230693707071201</v>
      </c>
      <c r="AN290" s="122">
        <f t="shared" si="377"/>
        <v>0</v>
      </c>
      <c r="AO290" s="122">
        <f t="shared" si="377"/>
        <v>0</v>
      </c>
      <c r="AP290" s="122">
        <f t="shared" si="377"/>
        <v>0</v>
      </c>
      <c r="AQ290" s="122">
        <f t="shared" si="377"/>
        <v>0</v>
      </c>
      <c r="AR290" s="122">
        <f t="shared" si="377"/>
        <v>0</v>
      </c>
      <c r="AS290" s="122">
        <f t="shared" si="377"/>
        <v>0</v>
      </c>
      <c r="AT290" s="122">
        <f t="shared" si="377"/>
        <v>0</v>
      </c>
      <c r="AU290" s="122">
        <f t="shared" si="377"/>
        <v>0</v>
      </c>
      <c r="AV290" s="122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</row>
    <row r="291" spans="2:67" ht="12.75" customHeight="1" x14ac:dyDescent="0.2">
      <c r="C291" s="27" t="s">
        <v>256</v>
      </c>
      <c r="D291" s="27" t="s">
        <v>491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58">
        <f>R290*$E$195</f>
        <v>0</v>
      </c>
      <c r="S291" s="58">
        <f t="shared" ref="S291:AU291" si="378">S290*$E$195</f>
        <v>4.027893350734305E-4</v>
      </c>
      <c r="T291" s="58">
        <f t="shared" si="378"/>
        <v>8.1992190012752464E-4</v>
      </c>
      <c r="U291" s="58">
        <f t="shared" si="378"/>
        <v>1.2524979018909697E-3</v>
      </c>
      <c r="V291" s="58">
        <f t="shared" si="378"/>
        <v>1.7016777152783727E-3</v>
      </c>
      <c r="W291" s="58">
        <f t="shared" si="378"/>
        <v>2.1686856360233139E-3</v>
      </c>
      <c r="X291" s="58">
        <f t="shared" si="378"/>
        <v>2.6548138549927513E-3</v>
      </c>
      <c r="Y291" s="58">
        <f t="shared" si="378"/>
        <v>3.1614266675684508E-3</v>
      </c>
      <c r="Z291" s="58">
        <f t="shared" si="378"/>
        <v>3.689964932282202E-3</v>
      </c>
      <c r="AA291" s="58">
        <f t="shared" si="378"/>
        <v>4.2419507937407376E-3</v>
      </c>
      <c r="AB291" s="58">
        <f t="shared" si="378"/>
        <v>4.8189926857765027E-3</v>
      </c>
      <c r="AC291" s="58">
        <f t="shared" si="378"/>
        <v>5.4227906317146253E-3</v>
      </c>
      <c r="AD291" s="58">
        <f t="shared" si="378"/>
        <v>6.0551418596580218E-3</v>
      </c>
      <c r="AE291" s="58">
        <f t="shared" si="378"/>
        <v>6.7179467517648394E-3</v>
      </c>
      <c r="AF291" s="58">
        <f t="shared" si="378"/>
        <v>7.4132151476291068E-3</v>
      </c>
      <c r="AG291" s="58">
        <f t="shared" si="378"/>
        <v>8.1430730230803907E-3</v>
      </c>
      <c r="AH291" s="58">
        <f t="shared" si="378"/>
        <v>8.9097695669954971E-3</v>
      </c>
      <c r="AI291" s="58">
        <f t="shared" si="378"/>
        <v>9.7156846800691594E-3</v>
      </c>
      <c r="AJ291" s="58">
        <f t="shared" si="378"/>
        <v>1.0563336920925927E-2</v>
      </c>
      <c r="AK291" s="58">
        <f t="shared" si="378"/>
        <v>1.1455391926476721E-2</v>
      </c>
      <c r="AL291" s="58">
        <f t="shared" si="378"/>
        <v>1.2394671335036285E-2</v>
      </c>
      <c r="AM291" s="58">
        <f t="shared" si="378"/>
        <v>1.3384162242427205E-2</v>
      </c>
      <c r="AN291" s="58">
        <f t="shared" si="378"/>
        <v>0</v>
      </c>
      <c r="AO291" s="58">
        <f t="shared" si="378"/>
        <v>0</v>
      </c>
      <c r="AP291" s="58">
        <f t="shared" si="378"/>
        <v>0</v>
      </c>
      <c r="AQ291" s="58">
        <f t="shared" si="378"/>
        <v>0</v>
      </c>
      <c r="AR291" s="58">
        <f t="shared" si="378"/>
        <v>0</v>
      </c>
      <c r="AS291" s="58">
        <f t="shared" si="378"/>
        <v>0</v>
      </c>
      <c r="AT291" s="58">
        <f t="shared" si="378"/>
        <v>0</v>
      </c>
      <c r="AU291" s="58">
        <f t="shared" si="378"/>
        <v>0</v>
      </c>
      <c r="AV291" s="122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</row>
    <row r="292" spans="2:67" ht="12.75" customHeight="1" x14ac:dyDescent="0.2">
      <c r="C292" s="27" t="s">
        <v>239</v>
      </c>
      <c r="D292" s="27" t="s">
        <v>491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58">
        <f>R261</f>
        <v>6.7131555845571754E-3</v>
      </c>
      <c r="S292" s="58">
        <f t="shared" ref="S292:AU292" si="379">S261</f>
        <v>6.5494200824948055E-3</v>
      </c>
      <c r="T292" s="58">
        <f t="shared" si="379"/>
        <v>6.3896781292632253E-3</v>
      </c>
      <c r="U292" s="58">
        <f t="shared" si="379"/>
        <v>6.2338323212324164E-3</v>
      </c>
      <c r="V292" s="58">
        <f t="shared" si="379"/>
        <v>6.0817876304706505E-3</v>
      </c>
      <c r="W292" s="58">
        <f t="shared" si="379"/>
        <v>5.9334513468006353E-3</v>
      </c>
      <c r="X292" s="58">
        <f t="shared" si="379"/>
        <v>5.7887330212689127E-3</v>
      </c>
      <c r="Y292" s="58">
        <f t="shared" si="379"/>
        <v>5.6475444109940617E-3</v>
      </c>
      <c r="Z292" s="58">
        <f t="shared" si="379"/>
        <v>5.5097994253600615E-3</v>
      </c>
      <c r="AA292" s="58">
        <f t="shared" si="379"/>
        <v>5.3754140735220116E-3</v>
      </c>
      <c r="AB292" s="58">
        <f t="shared" si="379"/>
        <v>5.2443064131922068E-3</v>
      </c>
      <c r="AC292" s="58">
        <f t="shared" si="379"/>
        <v>5.1163965006753237E-3</v>
      </c>
      <c r="AD292" s="58">
        <f t="shared" si="379"/>
        <v>4.991606342122268E-3</v>
      </c>
      <c r="AE292" s="58">
        <f t="shared" si="379"/>
        <v>4.8698598459729452E-3</v>
      </c>
      <c r="AF292" s="58">
        <f t="shared" si="379"/>
        <v>4.751082776558971E-3</v>
      </c>
      <c r="AG292" s="58">
        <f t="shared" si="379"/>
        <v>4.635202708838021E-3</v>
      </c>
      <c r="AH292" s="58">
        <f t="shared" si="379"/>
        <v>4.5221489842322158E-3</v>
      </c>
      <c r="AI292" s="58">
        <f t="shared" si="379"/>
        <v>4.4118526675436262E-3</v>
      </c>
      <c r="AJ292" s="58">
        <f t="shared" si="379"/>
        <v>4.3042465049206108E-3</v>
      </c>
      <c r="AK292" s="58">
        <f t="shared" si="379"/>
        <v>4.1992648828493764E-3</v>
      </c>
      <c r="AL292" s="58">
        <f t="shared" si="379"/>
        <v>4.0968437881457338E-3</v>
      </c>
      <c r="AM292" s="58">
        <f t="shared" si="379"/>
        <v>3.9969207689226679E-3</v>
      </c>
      <c r="AN292" s="58">
        <f t="shared" si="379"/>
        <v>0</v>
      </c>
      <c r="AO292" s="58">
        <f t="shared" si="379"/>
        <v>0</v>
      </c>
      <c r="AP292" s="58">
        <f t="shared" si="379"/>
        <v>0</v>
      </c>
      <c r="AQ292" s="58">
        <f t="shared" si="379"/>
        <v>0</v>
      </c>
      <c r="AR292" s="58">
        <f t="shared" si="379"/>
        <v>0</v>
      </c>
      <c r="AS292" s="58">
        <f t="shared" si="379"/>
        <v>0</v>
      </c>
      <c r="AT292" s="58">
        <f t="shared" si="379"/>
        <v>0</v>
      </c>
      <c r="AU292" s="58">
        <f t="shared" si="379"/>
        <v>0</v>
      </c>
      <c r="AV292" s="58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</row>
    <row r="293" spans="2:67" ht="12.75" customHeight="1" x14ac:dyDescent="0.2">
      <c r="C293" s="27" t="s">
        <v>528</v>
      </c>
      <c r="D293" s="27" t="s">
        <v>491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58">
        <f>0</f>
        <v>0</v>
      </c>
      <c r="S293" s="58">
        <f>0</f>
        <v>0</v>
      </c>
      <c r="T293" s="58">
        <f>0</f>
        <v>0</v>
      </c>
      <c r="U293" s="58">
        <f>0</f>
        <v>0</v>
      </c>
      <c r="V293" s="58">
        <f>0</f>
        <v>0</v>
      </c>
      <c r="W293" s="58">
        <f>0</f>
        <v>0</v>
      </c>
      <c r="X293" s="58">
        <f>0</f>
        <v>0</v>
      </c>
      <c r="Y293" s="58">
        <f>0</f>
        <v>0</v>
      </c>
      <c r="Z293" s="58">
        <f>0</f>
        <v>0</v>
      </c>
      <c r="AA293" s="58">
        <f>0</f>
        <v>0</v>
      </c>
      <c r="AB293" s="58">
        <f>0</f>
        <v>0</v>
      </c>
      <c r="AC293" s="58">
        <f>0</f>
        <v>0</v>
      </c>
      <c r="AD293" s="58">
        <f>0</f>
        <v>0</v>
      </c>
      <c r="AE293" s="58">
        <f>0</f>
        <v>0</v>
      </c>
      <c r="AF293" s="58">
        <f>0</f>
        <v>0</v>
      </c>
      <c r="AG293" s="58">
        <f>0</f>
        <v>0</v>
      </c>
      <c r="AH293" s="58">
        <f>0</f>
        <v>0</v>
      </c>
      <c r="AI293" s="58">
        <f>0</f>
        <v>0</v>
      </c>
      <c r="AJ293" s="58">
        <f>0</f>
        <v>0</v>
      </c>
      <c r="AK293" s="58">
        <f>0</f>
        <v>0</v>
      </c>
      <c r="AL293" s="58">
        <f>0</f>
        <v>0</v>
      </c>
      <c r="AM293" s="58">
        <f>0</f>
        <v>0</v>
      </c>
      <c r="AN293" s="58">
        <f>0</f>
        <v>0</v>
      </c>
      <c r="AO293" s="58">
        <f>0</f>
        <v>0</v>
      </c>
      <c r="AP293" s="58">
        <f>0</f>
        <v>0</v>
      </c>
      <c r="AQ293" s="58">
        <f>0</f>
        <v>0</v>
      </c>
      <c r="AR293" s="58">
        <f>0</f>
        <v>0</v>
      </c>
      <c r="AS293" s="58">
        <f>0</f>
        <v>0</v>
      </c>
      <c r="AT293" s="58">
        <f>0</f>
        <v>0</v>
      </c>
      <c r="AU293" s="58">
        <f>0</f>
        <v>0</v>
      </c>
      <c r="AV293" s="58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</row>
    <row r="294" spans="2:67" ht="12.75" customHeight="1" x14ac:dyDescent="0.2">
      <c r="C294" s="27" t="s">
        <v>529</v>
      </c>
      <c r="D294" s="27" t="s">
        <v>491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58">
        <f t="shared" ref="R294:AU294" si="380">R290+R291+R292-R293</f>
        <v>6.7131555845571754E-3</v>
      </c>
      <c r="S294" s="58">
        <f t="shared" si="380"/>
        <v>1.3665365002125411E-2</v>
      </c>
      <c r="T294" s="58">
        <f t="shared" si="380"/>
        <v>2.087496503151616E-2</v>
      </c>
      <c r="U294" s="58">
        <f t="shared" si="380"/>
        <v>2.8361295254639547E-2</v>
      </c>
      <c r="V294" s="58">
        <f t="shared" si="380"/>
        <v>3.614476060038857E-2</v>
      </c>
      <c r="W294" s="58">
        <f t="shared" si="380"/>
        <v>4.424689758321252E-2</v>
      </c>
      <c r="X294" s="58">
        <f t="shared" si="380"/>
        <v>5.2690444459474184E-2</v>
      </c>
      <c r="Y294" s="58">
        <f t="shared" si="380"/>
        <v>6.14994155380367E-2</v>
      </c>
      <c r="Z294" s="58">
        <f t="shared" si="380"/>
        <v>7.0699179895678962E-2</v>
      </c>
      <c r="AA294" s="58">
        <f t="shared" si="380"/>
        <v>8.0316544762941713E-2</v>
      </c>
      <c r="AB294" s="58">
        <f t="shared" si="380"/>
        <v>9.0379843861910419E-2</v>
      </c>
      <c r="AC294" s="58">
        <f t="shared" si="380"/>
        <v>0.10091903099430037</v>
      </c>
      <c r="AD294" s="58">
        <f t="shared" si="380"/>
        <v>0.11196577919608067</v>
      </c>
      <c r="AE294" s="58">
        <f t="shared" si="380"/>
        <v>0.12355358579381845</v>
      </c>
      <c r="AF294" s="58">
        <f t="shared" si="380"/>
        <v>0.13571788371800653</v>
      </c>
      <c r="AG294" s="58">
        <f t="shared" si="380"/>
        <v>0.14849615944992495</v>
      </c>
      <c r="AH294" s="58">
        <f t="shared" si="380"/>
        <v>0.16192807800115266</v>
      </c>
      <c r="AI294" s="58">
        <f t="shared" si="380"/>
        <v>0.17605561534876546</v>
      </c>
      <c r="AJ294" s="58">
        <f t="shared" si="380"/>
        <v>0.190923198774612</v>
      </c>
      <c r="AK294" s="58">
        <f t="shared" si="380"/>
        <v>0.2065778555839381</v>
      </c>
      <c r="AL294" s="58">
        <f t="shared" si="380"/>
        <v>0.2230693707071201</v>
      </c>
      <c r="AM294" s="58">
        <f t="shared" si="380"/>
        <v>0.24045045371846996</v>
      </c>
      <c r="AN294" s="58">
        <f t="shared" si="380"/>
        <v>0</v>
      </c>
      <c r="AO294" s="58">
        <f t="shared" si="380"/>
        <v>0</v>
      </c>
      <c r="AP294" s="58">
        <f t="shared" si="380"/>
        <v>0</v>
      </c>
      <c r="AQ294" s="58">
        <f t="shared" si="380"/>
        <v>0</v>
      </c>
      <c r="AR294" s="58">
        <f t="shared" si="380"/>
        <v>0</v>
      </c>
      <c r="AS294" s="58">
        <f t="shared" si="380"/>
        <v>0</v>
      </c>
      <c r="AT294" s="58">
        <f t="shared" si="380"/>
        <v>0</v>
      </c>
      <c r="AU294" s="58">
        <f t="shared" si="380"/>
        <v>0</v>
      </c>
      <c r="AV294" s="58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</row>
    <row r="295" spans="2:67" ht="12.75" customHeight="1" x14ac:dyDescent="0.2">
      <c r="C295" s="27" t="s">
        <v>526</v>
      </c>
      <c r="D295" s="27" t="s">
        <v>491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58">
        <f>R279</f>
        <v>0.4908124677778461</v>
      </c>
      <c r="S295" s="58">
        <f t="shared" ref="S295:AU295" si="381">S279</f>
        <v>0.48414742416012663</v>
      </c>
      <c r="T295" s="58">
        <f t="shared" si="381"/>
        <v>0.47708247792534397</v>
      </c>
      <c r="U295" s="58">
        <f t="shared" si="381"/>
        <v>0.46959363491647438</v>
      </c>
      <c r="V295" s="58">
        <f t="shared" si="381"/>
        <v>0.46165546132707258</v>
      </c>
      <c r="W295" s="58">
        <f t="shared" si="381"/>
        <v>0.45324099732230666</v>
      </c>
      <c r="X295" s="58">
        <f t="shared" si="381"/>
        <v>0.44432166547725482</v>
      </c>
      <c r="Y295" s="58">
        <f t="shared" si="381"/>
        <v>0.43486717372149986</v>
      </c>
      <c r="Z295" s="58">
        <f t="shared" si="381"/>
        <v>0.42484541246039959</v>
      </c>
      <c r="AA295" s="58">
        <f t="shared" si="381"/>
        <v>0.4142223455236333</v>
      </c>
      <c r="AB295" s="58">
        <f t="shared" si="381"/>
        <v>0.40296189457066106</v>
      </c>
      <c r="AC295" s="58">
        <f t="shared" si="381"/>
        <v>0.3910258165605105</v>
      </c>
      <c r="AD295" s="58">
        <f t="shared" si="381"/>
        <v>0.3783735738697509</v>
      </c>
      <c r="AE295" s="58">
        <f t="shared" si="381"/>
        <v>0.3649621966175457</v>
      </c>
      <c r="AF295" s="58">
        <f t="shared" si="381"/>
        <v>0.35074613673020816</v>
      </c>
      <c r="AG295" s="58">
        <f t="shared" si="381"/>
        <v>0.3356771132496304</v>
      </c>
      <c r="AH295" s="58">
        <f t="shared" si="381"/>
        <v>0.31970394836021798</v>
      </c>
      <c r="AI295" s="58">
        <f t="shared" si="381"/>
        <v>0.30277239357744079</v>
      </c>
      <c r="AJ295" s="58">
        <f t="shared" si="381"/>
        <v>0.28482494550769699</v>
      </c>
      <c r="AK295" s="58">
        <f t="shared" si="381"/>
        <v>0.26580065055376856</v>
      </c>
      <c r="AL295" s="58">
        <f t="shared" si="381"/>
        <v>0.24563489790260443</v>
      </c>
      <c r="AM295" s="58">
        <f t="shared" si="381"/>
        <v>0.22425920009237044</v>
      </c>
      <c r="AN295" s="58">
        <f t="shared" si="381"/>
        <v>0</v>
      </c>
      <c r="AO295" s="58">
        <f t="shared" si="381"/>
        <v>0</v>
      </c>
      <c r="AP295" s="58">
        <f t="shared" si="381"/>
        <v>0</v>
      </c>
      <c r="AQ295" s="58">
        <f t="shared" si="381"/>
        <v>0</v>
      </c>
      <c r="AR295" s="58">
        <f t="shared" si="381"/>
        <v>0</v>
      </c>
      <c r="AS295" s="58">
        <f t="shared" si="381"/>
        <v>0</v>
      </c>
      <c r="AT295" s="58">
        <f t="shared" si="381"/>
        <v>0</v>
      </c>
      <c r="AU295" s="58">
        <f t="shared" si="381"/>
        <v>0</v>
      </c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</row>
    <row r="296" spans="2:67" ht="12.75" customHeight="1" x14ac:dyDescent="0.2">
      <c r="C296" s="27" t="s">
        <v>530</v>
      </c>
      <c r="D296" s="27" t="s">
        <v>491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58">
        <f>IF(R294&gt;=R295,R295,0)</f>
        <v>0</v>
      </c>
      <c r="S296" s="58">
        <f t="shared" ref="S296:AU296" si="382">IF(S294&gt;=S295,S295,0)</f>
        <v>0</v>
      </c>
      <c r="T296" s="58">
        <f t="shared" si="382"/>
        <v>0</v>
      </c>
      <c r="U296" s="58">
        <f t="shared" si="382"/>
        <v>0</v>
      </c>
      <c r="V296" s="58">
        <f t="shared" si="382"/>
        <v>0</v>
      </c>
      <c r="W296" s="58">
        <f t="shared" si="382"/>
        <v>0</v>
      </c>
      <c r="X296" s="58">
        <f t="shared" si="382"/>
        <v>0</v>
      </c>
      <c r="Y296" s="58">
        <f t="shared" si="382"/>
        <v>0</v>
      </c>
      <c r="Z296" s="58">
        <f t="shared" si="382"/>
        <v>0</v>
      </c>
      <c r="AA296" s="58">
        <f t="shared" si="382"/>
        <v>0</v>
      </c>
      <c r="AB296" s="58">
        <f t="shared" si="382"/>
        <v>0</v>
      </c>
      <c r="AC296" s="58">
        <f t="shared" si="382"/>
        <v>0</v>
      </c>
      <c r="AD296" s="58">
        <f t="shared" si="382"/>
        <v>0</v>
      </c>
      <c r="AE296" s="58">
        <f t="shared" si="382"/>
        <v>0</v>
      </c>
      <c r="AF296" s="58">
        <f t="shared" si="382"/>
        <v>0</v>
      </c>
      <c r="AG296" s="58">
        <f t="shared" si="382"/>
        <v>0</v>
      </c>
      <c r="AH296" s="58">
        <f t="shared" si="382"/>
        <v>0</v>
      </c>
      <c r="AI296" s="58">
        <f t="shared" si="382"/>
        <v>0</v>
      </c>
      <c r="AJ296" s="58">
        <f t="shared" si="382"/>
        <v>0</v>
      </c>
      <c r="AK296" s="58">
        <f t="shared" si="382"/>
        <v>0</v>
      </c>
      <c r="AL296" s="58">
        <f t="shared" si="382"/>
        <v>0</v>
      </c>
      <c r="AM296" s="58">
        <f t="shared" si="382"/>
        <v>0.22425920009237044</v>
      </c>
      <c r="AN296" s="58">
        <f t="shared" si="382"/>
        <v>0</v>
      </c>
      <c r="AO296" s="58">
        <f t="shared" si="382"/>
        <v>0</v>
      </c>
      <c r="AP296" s="58">
        <f t="shared" si="382"/>
        <v>0</v>
      </c>
      <c r="AQ296" s="58">
        <f t="shared" si="382"/>
        <v>0</v>
      </c>
      <c r="AR296" s="58">
        <f t="shared" si="382"/>
        <v>0</v>
      </c>
      <c r="AS296" s="58">
        <f t="shared" si="382"/>
        <v>0</v>
      </c>
      <c r="AT296" s="58">
        <f t="shared" si="382"/>
        <v>0</v>
      </c>
      <c r="AU296" s="58">
        <f t="shared" si="382"/>
        <v>0</v>
      </c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</row>
    <row r="297" spans="2:67" ht="12.75" customHeight="1" x14ac:dyDescent="0.2">
      <c r="C297" s="27" t="s">
        <v>531</v>
      </c>
      <c r="D297" s="27" t="s">
        <v>491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96">
        <f>MAX(R294-R295,0)</f>
        <v>0</v>
      </c>
      <c r="S297" s="96">
        <f t="shared" ref="S297:AU297" si="383">MAX(S294-S295,0)</f>
        <v>0</v>
      </c>
      <c r="T297" s="96">
        <f t="shared" si="383"/>
        <v>0</v>
      </c>
      <c r="U297" s="96">
        <f t="shared" si="383"/>
        <v>0</v>
      </c>
      <c r="V297" s="96">
        <f t="shared" si="383"/>
        <v>0</v>
      </c>
      <c r="W297" s="96">
        <f t="shared" si="383"/>
        <v>0</v>
      </c>
      <c r="X297" s="96">
        <f t="shared" si="383"/>
        <v>0</v>
      </c>
      <c r="Y297" s="96">
        <f t="shared" si="383"/>
        <v>0</v>
      </c>
      <c r="Z297" s="96">
        <f t="shared" si="383"/>
        <v>0</v>
      </c>
      <c r="AA297" s="96">
        <f t="shared" si="383"/>
        <v>0</v>
      </c>
      <c r="AB297" s="96">
        <f t="shared" si="383"/>
        <v>0</v>
      </c>
      <c r="AC297" s="96">
        <f t="shared" si="383"/>
        <v>0</v>
      </c>
      <c r="AD297" s="96">
        <f t="shared" si="383"/>
        <v>0</v>
      </c>
      <c r="AE297" s="96">
        <f t="shared" si="383"/>
        <v>0</v>
      </c>
      <c r="AF297" s="96">
        <f t="shared" si="383"/>
        <v>0</v>
      </c>
      <c r="AG297" s="96">
        <f t="shared" si="383"/>
        <v>0</v>
      </c>
      <c r="AH297" s="96">
        <f t="shared" si="383"/>
        <v>0</v>
      </c>
      <c r="AI297" s="96">
        <f t="shared" si="383"/>
        <v>0</v>
      </c>
      <c r="AJ297" s="96">
        <f t="shared" si="383"/>
        <v>0</v>
      </c>
      <c r="AK297" s="96">
        <f t="shared" si="383"/>
        <v>0</v>
      </c>
      <c r="AL297" s="96">
        <f t="shared" si="383"/>
        <v>0</v>
      </c>
      <c r="AM297" s="96">
        <f t="shared" si="383"/>
        <v>1.6191253626099522E-2</v>
      </c>
      <c r="AN297" s="96">
        <f t="shared" si="383"/>
        <v>0</v>
      </c>
      <c r="AO297" s="96">
        <f t="shared" si="383"/>
        <v>0</v>
      </c>
      <c r="AP297" s="96">
        <f t="shared" si="383"/>
        <v>0</v>
      </c>
      <c r="AQ297" s="96">
        <f t="shared" si="383"/>
        <v>0</v>
      </c>
      <c r="AR297" s="96">
        <f t="shared" si="383"/>
        <v>0</v>
      </c>
      <c r="AS297" s="96">
        <f t="shared" si="383"/>
        <v>0</v>
      </c>
      <c r="AT297" s="96">
        <f t="shared" si="383"/>
        <v>0</v>
      </c>
      <c r="AU297" s="96">
        <f t="shared" si="383"/>
        <v>0</v>
      </c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</row>
    <row r="298" spans="2:67" ht="12.75" customHeight="1" x14ac:dyDescent="0.2">
      <c r="C298" s="27" t="s">
        <v>532</v>
      </c>
      <c r="D298" s="27" t="s">
        <v>491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58">
        <f>R294-R296-R297</f>
        <v>6.7131555845571754E-3</v>
      </c>
      <c r="S298" s="58">
        <f t="shared" ref="S298:AU298" si="384">S294-S296-S297</f>
        <v>1.3665365002125411E-2</v>
      </c>
      <c r="T298" s="58">
        <f t="shared" si="384"/>
        <v>2.087496503151616E-2</v>
      </c>
      <c r="U298" s="58">
        <f t="shared" si="384"/>
        <v>2.8361295254639547E-2</v>
      </c>
      <c r="V298" s="58">
        <f t="shared" si="384"/>
        <v>3.614476060038857E-2</v>
      </c>
      <c r="W298" s="58">
        <f t="shared" si="384"/>
        <v>4.424689758321252E-2</v>
      </c>
      <c r="X298" s="58">
        <f t="shared" si="384"/>
        <v>5.2690444459474184E-2</v>
      </c>
      <c r="Y298" s="58">
        <f t="shared" si="384"/>
        <v>6.14994155380367E-2</v>
      </c>
      <c r="Z298" s="58">
        <f t="shared" si="384"/>
        <v>7.0699179895678962E-2</v>
      </c>
      <c r="AA298" s="58">
        <f t="shared" si="384"/>
        <v>8.0316544762941713E-2</v>
      </c>
      <c r="AB298" s="58">
        <f t="shared" si="384"/>
        <v>9.0379843861910419E-2</v>
      </c>
      <c r="AC298" s="58">
        <f t="shared" si="384"/>
        <v>0.10091903099430037</v>
      </c>
      <c r="AD298" s="58">
        <f t="shared" si="384"/>
        <v>0.11196577919608067</v>
      </c>
      <c r="AE298" s="58">
        <f t="shared" si="384"/>
        <v>0.12355358579381845</v>
      </c>
      <c r="AF298" s="58">
        <f t="shared" si="384"/>
        <v>0.13571788371800653</v>
      </c>
      <c r="AG298" s="58">
        <f t="shared" si="384"/>
        <v>0.14849615944992495</v>
      </c>
      <c r="AH298" s="58">
        <f t="shared" si="384"/>
        <v>0.16192807800115266</v>
      </c>
      <c r="AI298" s="58">
        <f t="shared" si="384"/>
        <v>0.17605561534876546</v>
      </c>
      <c r="AJ298" s="58">
        <f t="shared" si="384"/>
        <v>0.190923198774612</v>
      </c>
      <c r="AK298" s="58">
        <f t="shared" si="384"/>
        <v>0.2065778555839381</v>
      </c>
      <c r="AL298" s="58">
        <f t="shared" si="384"/>
        <v>0.2230693707071201</v>
      </c>
      <c r="AM298" s="58">
        <f t="shared" si="384"/>
        <v>0</v>
      </c>
      <c r="AN298" s="58">
        <f t="shared" si="384"/>
        <v>0</v>
      </c>
      <c r="AO298" s="58">
        <f t="shared" si="384"/>
        <v>0</v>
      </c>
      <c r="AP298" s="58">
        <f t="shared" si="384"/>
        <v>0</v>
      </c>
      <c r="AQ298" s="58">
        <f t="shared" si="384"/>
        <v>0</v>
      </c>
      <c r="AR298" s="58">
        <f t="shared" si="384"/>
        <v>0</v>
      </c>
      <c r="AS298" s="58">
        <f t="shared" si="384"/>
        <v>0</v>
      </c>
      <c r="AT298" s="58">
        <f t="shared" si="384"/>
        <v>0</v>
      </c>
      <c r="AU298" s="58">
        <f t="shared" si="384"/>
        <v>0</v>
      </c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</row>
    <row r="299" spans="2:67" ht="12.75" customHeight="1" x14ac:dyDescent="0.2">
      <c r="C299" s="27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128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</row>
    <row r="300" spans="2:67" ht="12.75" customHeight="1" x14ac:dyDescent="0.2">
      <c r="C300" s="27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128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</row>
    <row r="301" spans="2:67" ht="12.75" customHeight="1" x14ac:dyDescent="0.2">
      <c r="C301" s="27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128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</row>
    <row r="302" spans="2:67" ht="12.75" customHeight="1" x14ac:dyDescent="0.2">
      <c r="C302" s="27" t="s">
        <v>232</v>
      </c>
      <c r="D302" s="27" t="s">
        <v>491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58">
        <f t="shared" ref="R302:AU302" si="385">$E$12*R285</f>
        <v>0</v>
      </c>
      <c r="S302" s="58">
        <f t="shared" si="385"/>
        <v>0</v>
      </c>
      <c r="T302" s="58">
        <f t="shared" si="385"/>
        <v>0</v>
      </c>
      <c r="U302" s="58">
        <f t="shared" si="385"/>
        <v>0</v>
      </c>
      <c r="V302" s="58">
        <f t="shared" si="385"/>
        <v>0</v>
      </c>
      <c r="W302" s="58">
        <f t="shared" si="385"/>
        <v>0</v>
      </c>
      <c r="X302" s="58">
        <f t="shared" si="385"/>
        <v>0</v>
      </c>
      <c r="Y302" s="58">
        <f t="shared" si="385"/>
        <v>0</v>
      </c>
      <c r="Z302" s="58">
        <f t="shared" si="385"/>
        <v>0</v>
      </c>
      <c r="AA302" s="58">
        <f t="shared" si="385"/>
        <v>0</v>
      </c>
      <c r="AB302" s="58">
        <f t="shared" si="385"/>
        <v>0</v>
      </c>
      <c r="AC302" s="58">
        <f t="shared" si="385"/>
        <v>0</v>
      </c>
      <c r="AD302" s="58">
        <f t="shared" si="385"/>
        <v>0</v>
      </c>
      <c r="AE302" s="58">
        <f t="shared" si="385"/>
        <v>0</v>
      </c>
      <c r="AF302" s="58">
        <f t="shared" si="385"/>
        <v>0</v>
      </c>
      <c r="AG302" s="58">
        <f t="shared" si="385"/>
        <v>0</v>
      </c>
      <c r="AH302" s="58">
        <f t="shared" si="385"/>
        <v>0</v>
      </c>
      <c r="AI302" s="58">
        <f t="shared" si="385"/>
        <v>0</v>
      </c>
      <c r="AJ302" s="58">
        <f t="shared" si="385"/>
        <v>0</v>
      </c>
      <c r="AK302" s="58">
        <f t="shared" si="385"/>
        <v>0</v>
      </c>
      <c r="AL302" s="58">
        <f t="shared" si="385"/>
        <v>0</v>
      </c>
      <c r="AM302" s="58">
        <f t="shared" si="385"/>
        <v>0</v>
      </c>
      <c r="AN302" s="58">
        <f t="shared" si="385"/>
        <v>0</v>
      </c>
      <c r="AO302" s="58">
        <f t="shared" si="385"/>
        <v>0</v>
      </c>
      <c r="AP302" s="58">
        <f t="shared" si="385"/>
        <v>0</v>
      </c>
      <c r="AQ302" s="58">
        <f t="shared" si="385"/>
        <v>0</v>
      </c>
      <c r="AR302" s="58">
        <f t="shared" si="385"/>
        <v>0</v>
      </c>
      <c r="AS302" s="58">
        <f t="shared" si="385"/>
        <v>0</v>
      </c>
      <c r="AT302" s="58">
        <f t="shared" si="385"/>
        <v>0</v>
      </c>
      <c r="AU302" s="58">
        <f t="shared" si="385"/>
        <v>0</v>
      </c>
      <c r="AV302" s="58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</row>
    <row r="303" spans="2:67" ht="12.75" customHeight="1" x14ac:dyDescent="0.2">
      <c r="C303" s="27"/>
      <c r="D303" s="27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</row>
    <row r="304" spans="2:67" ht="12.75" customHeight="1" x14ac:dyDescent="0.2">
      <c r="C304" s="27"/>
      <c r="D304" s="27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</row>
    <row r="305" spans="1:67" ht="12.75" customHeight="1" x14ac:dyDescent="0.2">
      <c r="A305" s="143"/>
      <c r="B305" s="143"/>
      <c r="C305" s="144"/>
      <c r="D305" s="144"/>
      <c r="E305" s="143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</row>
    <row r="306" spans="1:67" ht="12.75" customHeight="1" x14ac:dyDescent="0.2">
      <c r="A306" s="23" t="s">
        <v>272</v>
      </c>
      <c r="C306" s="27"/>
      <c r="D306" s="27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</row>
    <row r="307" spans="1:67" ht="12.75" customHeight="1" x14ac:dyDescent="0.2">
      <c r="C307" s="27"/>
      <c r="D307" s="27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</row>
    <row r="308" spans="1:67" ht="12.75" customHeight="1" x14ac:dyDescent="0.2">
      <c r="A308" s="28" t="s">
        <v>271</v>
      </c>
      <c r="C308" s="27"/>
      <c r="D308" s="27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</row>
    <row r="309" spans="1:67" ht="12.75" customHeight="1" x14ac:dyDescent="0.2">
      <c r="A309" s="28" t="s">
        <v>36</v>
      </c>
      <c r="C309" s="27"/>
      <c r="D309" s="27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</row>
    <row r="310" spans="1:67" ht="12.75" customHeight="1" x14ac:dyDescent="0.2">
      <c r="A310" s="1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</row>
    <row r="311" spans="1:67" ht="12.75" customHeight="1" x14ac:dyDescent="0.2">
      <c r="A311" s="116" t="s">
        <v>216</v>
      </c>
      <c r="B311" s="25"/>
      <c r="C311" s="117" t="s">
        <v>215</v>
      </c>
      <c r="D311" s="117" t="s">
        <v>19</v>
      </c>
      <c r="E311" s="25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 t="s">
        <v>214</v>
      </c>
      <c r="S311" s="25">
        <f>S$44</f>
        <v>2025</v>
      </c>
      <c r="T311" s="25">
        <f t="shared" ref="T311:BO311" si="386">T$44</f>
        <v>2026</v>
      </c>
      <c r="U311" s="25">
        <f t="shared" si="386"/>
        <v>2027</v>
      </c>
      <c r="V311" s="25">
        <f t="shared" si="386"/>
        <v>2028</v>
      </c>
      <c r="W311" s="25">
        <f t="shared" si="386"/>
        <v>2029</v>
      </c>
      <c r="X311" s="25">
        <f t="shared" si="386"/>
        <v>2030</v>
      </c>
      <c r="Y311" s="25">
        <f t="shared" si="386"/>
        <v>2031</v>
      </c>
      <c r="Z311" s="25">
        <f t="shared" si="386"/>
        <v>2032</v>
      </c>
      <c r="AA311" s="25">
        <f t="shared" si="386"/>
        <v>2033</v>
      </c>
      <c r="AB311" s="25">
        <f t="shared" si="386"/>
        <v>2034</v>
      </c>
      <c r="AC311" s="25">
        <f t="shared" si="386"/>
        <v>2035</v>
      </c>
      <c r="AD311" s="25">
        <f t="shared" si="386"/>
        <v>2036</v>
      </c>
      <c r="AE311" s="25">
        <f t="shared" si="386"/>
        <v>2037</v>
      </c>
      <c r="AF311" s="25">
        <f t="shared" si="386"/>
        <v>2038</v>
      </c>
      <c r="AG311" s="25">
        <f t="shared" si="386"/>
        <v>2039</v>
      </c>
      <c r="AH311" s="25">
        <f t="shared" si="386"/>
        <v>2040</v>
      </c>
      <c r="AI311" s="25">
        <f t="shared" si="386"/>
        <v>2041</v>
      </c>
      <c r="AJ311" s="25">
        <f t="shared" si="386"/>
        <v>2042</v>
      </c>
      <c r="AK311" s="25">
        <f t="shared" si="386"/>
        <v>2043</v>
      </c>
      <c r="AL311" s="25">
        <f t="shared" si="386"/>
        <v>2044</v>
      </c>
      <c r="AM311" s="25">
        <f t="shared" si="386"/>
        <v>2045</v>
      </c>
      <c r="AN311" s="25">
        <f t="shared" si="386"/>
        <v>2046</v>
      </c>
      <c r="AO311" s="25">
        <f t="shared" si="386"/>
        <v>2047</v>
      </c>
      <c r="AP311" s="25">
        <f t="shared" si="386"/>
        <v>2048</v>
      </c>
      <c r="AQ311" s="25">
        <f t="shared" si="386"/>
        <v>2049</v>
      </c>
      <c r="AR311" s="25">
        <f t="shared" si="386"/>
        <v>2050</v>
      </c>
      <c r="AS311" s="25">
        <f t="shared" si="386"/>
        <v>2051</v>
      </c>
      <c r="AT311" s="25">
        <f t="shared" si="386"/>
        <v>2052</v>
      </c>
      <c r="AU311" s="25">
        <f t="shared" si="386"/>
        <v>2053</v>
      </c>
      <c r="AV311" s="25">
        <f t="shared" si="386"/>
        <v>2054</v>
      </c>
      <c r="AW311" s="25">
        <f t="shared" si="386"/>
        <v>2055</v>
      </c>
      <c r="AX311" s="25">
        <f t="shared" si="386"/>
        <v>2056</v>
      </c>
      <c r="AY311" s="25">
        <f t="shared" si="386"/>
        <v>2057</v>
      </c>
      <c r="AZ311" s="25">
        <f t="shared" si="386"/>
        <v>2058</v>
      </c>
      <c r="BA311" s="25">
        <f t="shared" si="386"/>
        <v>2059</v>
      </c>
      <c r="BB311" s="25">
        <f t="shared" si="386"/>
        <v>2060</v>
      </c>
      <c r="BC311" s="25">
        <f t="shared" si="386"/>
        <v>2061</v>
      </c>
      <c r="BD311" s="25">
        <f t="shared" si="386"/>
        <v>2062</v>
      </c>
      <c r="BE311" s="25">
        <f t="shared" si="386"/>
        <v>2063</v>
      </c>
      <c r="BF311" s="25">
        <f t="shared" si="386"/>
        <v>2064</v>
      </c>
      <c r="BG311" s="25">
        <f t="shared" si="386"/>
        <v>2065</v>
      </c>
      <c r="BH311" s="25">
        <f t="shared" si="386"/>
        <v>2066</v>
      </c>
      <c r="BI311" s="25">
        <f t="shared" si="386"/>
        <v>2067</v>
      </c>
      <c r="BJ311" s="25">
        <f t="shared" si="386"/>
        <v>2068</v>
      </c>
      <c r="BK311" s="25">
        <f t="shared" si="386"/>
        <v>2069</v>
      </c>
      <c r="BL311" s="25">
        <f t="shared" si="386"/>
        <v>2070</v>
      </c>
      <c r="BM311" s="25">
        <f t="shared" si="386"/>
        <v>2071</v>
      </c>
      <c r="BN311" s="25">
        <f t="shared" si="386"/>
        <v>2072</v>
      </c>
      <c r="BO311" s="25">
        <f t="shared" si="386"/>
        <v>2073</v>
      </c>
    </row>
    <row r="312" spans="1:67" ht="12.75" customHeight="1" x14ac:dyDescent="0.2">
      <c r="A312" s="115">
        <v>1</v>
      </c>
      <c r="B312" s="16" t="s">
        <v>11</v>
      </c>
      <c r="D312" s="27" t="s">
        <v>26</v>
      </c>
    </row>
    <row r="313" spans="1:67" ht="12.75" customHeight="1" x14ac:dyDescent="0.2">
      <c r="A313" s="115">
        <v>2</v>
      </c>
      <c r="C313" s="23" t="s">
        <v>31</v>
      </c>
      <c r="D313" s="27" t="s">
        <v>26</v>
      </c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54">
        <f t="shared" ref="R313:AW313" si="387">$E$19*R$47</f>
        <v>2.4207998836433344E-2</v>
      </c>
      <c r="S313" s="54">
        <f t="shared" si="387"/>
        <v>2.4813198807344179E-2</v>
      </c>
      <c r="T313" s="54">
        <f t="shared" si="387"/>
        <v>2.5433528777527779E-2</v>
      </c>
      <c r="U313" s="54">
        <f t="shared" si="387"/>
        <v>2.6069366996965972E-2</v>
      </c>
      <c r="V313" s="54">
        <f t="shared" si="387"/>
        <v>2.6721101171890117E-2</v>
      </c>
      <c r="W313" s="54">
        <f t="shared" si="387"/>
        <v>2.7389128701187367E-2</v>
      </c>
      <c r="X313" s="54">
        <f t="shared" si="387"/>
        <v>2.8073856918717048E-2</v>
      </c>
      <c r="Y313" s="54">
        <f t="shared" si="387"/>
        <v>2.8775703341684972E-2</v>
      </c>
      <c r="Z313" s="54">
        <f t="shared" si="387"/>
        <v>2.9495095925227095E-2</v>
      </c>
      <c r="AA313" s="54">
        <f t="shared" si="387"/>
        <v>3.0232473323357767E-2</v>
      </c>
      <c r="AB313" s="54">
        <f t="shared" si="387"/>
        <v>3.0988285156441708E-2</v>
      </c>
      <c r="AC313" s="54">
        <f t="shared" si="387"/>
        <v>3.1762992285352752E-2</v>
      </c>
      <c r="AD313" s="54">
        <f t="shared" si="387"/>
        <v>3.2557067092486569E-2</v>
      </c>
      <c r="AE313" s="54">
        <f t="shared" si="387"/>
        <v>3.3370993769798726E-2</v>
      </c>
      <c r="AF313" s="54">
        <f t="shared" si="387"/>
        <v>3.4205268614043695E-2</v>
      </c>
      <c r="AG313" s="54">
        <f t="shared" si="387"/>
        <v>3.5060400329394781E-2</v>
      </c>
      <c r="AH313" s="54">
        <f t="shared" si="387"/>
        <v>3.5936910337629649E-2</v>
      </c>
      <c r="AI313" s="54">
        <f t="shared" si="387"/>
        <v>3.6835333096070379E-2</v>
      </c>
      <c r="AJ313" s="54">
        <f t="shared" si="387"/>
        <v>3.7756216423472141E-2</v>
      </c>
      <c r="AK313" s="54">
        <f t="shared" si="387"/>
        <v>3.8700121834058944E-2</v>
      </c>
      <c r="AL313" s="54">
        <f t="shared" si="387"/>
        <v>3.9667624879910407E-2</v>
      </c>
      <c r="AM313" s="54">
        <f t="shared" si="387"/>
        <v>4.0659315501908169E-2</v>
      </c>
      <c r="AN313" s="54">
        <f t="shared" si="387"/>
        <v>4.1675798389455863E-2</v>
      </c>
      <c r="AO313" s="54">
        <f t="shared" si="387"/>
        <v>4.2717693349192259E-2</v>
      </c>
      <c r="AP313" s="54">
        <f t="shared" si="387"/>
        <v>4.3785635682922062E-2</v>
      </c>
      <c r="AQ313" s="54">
        <f t="shared" si="387"/>
        <v>4.4880276574995111E-2</v>
      </c>
      <c r="AR313" s="54">
        <f t="shared" si="387"/>
        <v>4.6002283489369987E-2</v>
      </c>
      <c r="AS313" s="54">
        <f t="shared" si="387"/>
        <v>4.7152340576604231E-2</v>
      </c>
      <c r="AT313" s="54">
        <f t="shared" si="387"/>
        <v>4.8331149091019335E-2</v>
      </c>
      <c r="AU313" s="54">
        <f t="shared" si="387"/>
        <v>4.9539427818294811E-2</v>
      </c>
      <c r="AV313" s="54">
        <f t="shared" si="387"/>
        <v>5.0777913513752181E-2</v>
      </c>
      <c r="AW313" s="54">
        <f t="shared" si="387"/>
        <v>5.2047361351595982E-2</v>
      </c>
      <c r="AX313" s="54">
        <f t="shared" ref="AX313:BO313" si="388">$E$19*AX$47</f>
        <v>5.334854538538588E-2</v>
      </c>
      <c r="AY313" s="54">
        <f t="shared" si="388"/>
        <v>5.4682259020020524E-2</v>
      </c>
      <c r="AZ313" s="54">
        <f t="shared" si="388"/>
        <v>5.6049315495521036E-2</v>
      </c>
      <c r="BA313" s="54">
        <f t="shared" si="388"/>
        <v>5.7450548382909056E-2</v>
      </c>
      <c r="BB313" s="54">
        <f t="shared" si="388"/>
        <v>5.8886812092481783E-2</v>
      </c>
      <c r="BC313" s="54">
        <f t="shared" si="388"/>
        <v>6.0358982394793821E-2</v>
      </c>
      <c r="BD313" s="54">
        <f t="shared" si="388"/>
        <v>6.1867956954663662E-2</v>
      </c>
      <c r="BE313" s="54">
        <f t="shared" si="388"/>
        <v>6.3414655878530249E-2</v>
      </c>
      <c r="BF313" s="54">
        <f t="shared" si="388"/>
        <v>6.5000022275493494E-2</v>
      </c>
      <c r="BG313" s="54">
        <f t="shared" si="388"/>
        <v>6.6625022832380823E-2</v>
      </c>
      <c r="BH313" s="54">
        <f t="shared" si="388"/>
        <v>6.8290648403190352E-2</v>
      </c>
      <c r="BI313" s="54">
        <f t="shared" si="388"/>
        <v>6.9997914613270096E-2</v>
      </c>
      <c r="BJ313" s="54">
        <f t="shared" si="388"/>
        <v>7.1747862478601848E-2</v>
      </c>
      <c r="BK313" s="54">
        <f t="shared" si="388"/>
        <v>7.3541559040566903E-2</v>
      </c>
      <c r="BL313" s="54">
        <f t="shared" si="388"/>
        <v>7.5380098016581049E-2</v>
      </c>
      <c r="BM313" s="54">
        <f t="shared" si="388"/>
        <v>7.7264600466995584E-2</v>
      </c>
      <c r="BN313" s="54">
        <f t="shared" si="388"/>
        <v>7.9196215478670465E-2</v>
      </c>
      <c r="BO313" s="54">
        <f t="shared" si="388"/>
        <v>8.1176120865637219E-2</v>
      </c>
    </row>
    <row r="314" spans="1:67" ht="12.75" customHeight="1" x14ac:dyDescent="0.2">
      <c r="A314" s="115">
        <v>3</v>
      </c>
      <c r="C314" s="17" t="s">
        <v>13</v>
      </c>
      <c r="D314" s="27" t="s">
        <v>26</v>
      </c>
      <c r="F314" s="42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68">
        <f t="shared" ref="R314:BO314" si="389">SUM(R313)</f>
        <v>2.4207998836433344E-2</v>
      </c>
      <c r="S314" s="68">
        <f t="shared" si="389"/>
        <v>2.4813198807344179E-2</v>
      </c>
      <c r="T314" s="68">
        <f t="shared" si="389"/>
        <v>2.5433528777527779E-2</v>
      </c>
      <c r="U314" s="68">
        <f t="shared" si="389"/>
        <v>2.6069366996965972E-2</v>
      </c>
      <c r="V314" s="68">
        <f t="shared" si="389"/>
        <v>2.6721101171890117E-2</v>
      </c>
      <c r="W314" s="68">
        <f t="shared" si="389"/>
        <v>2.7389128701187367E-2</v>
      </c>
      <c r="X314" s="68">
        <f t="shared" si="389"/>
        <v>2.8073856918717048E-2</v>
      </c>
      <c r="Y314" s="68">
        <f t="shared" si="389"/>
        <v>2.8775703341684972E-2</v>
      </c>
      <c r="Z314" s="68">
        <f t="shared" si="389"/>
        <v>2.9495095925227095E-2</v>
      </c>
      <c r="AA314" s="68">
        <f t="shared" si="389"/>
        <v>3.0232473323357767E-2</v>
      </c>
      <c r="AB314" s="68">
        <f t="shared" si="389"/>
        <v>3.0988285156441708E-2</v>
      </c>
      <c r="AC314" s="68">
        <f t="shared" si="389"/>
        <v>3.1762992285352752E-2</v>
      </c>
      <c r="AD314" s="68">
        <f t="shared" si="389"/>
        <v>3.2557067092486569E-2</v>
      </c>
      <c r="AE314" s="68">
        <f t="shared" si="389"/>
        <v>3.3370993769798726E-2</v>
      </c>
      <c r="AF314" s="68">
        <f t="shared" si="389"/>
        <v>3.4205268614043695E-2</v>
      </c>
      <c r="AG314" s="68">
        <f t="shared" si="389"/>
        <v>3.5060400329394781E-2</v>
      </c>
      <c r="AH314" s="68">
        <f t="shared" si="389"/>
        <v>3.5936910337629649E-2</v>
      </c>
      <c r="AI314" s="68">
        <f t="shared" si="389"/>
        <v>3.6835333096070379E-2</v>
      </c>
      <c r="AJ314" s="68">
        <f t="shared" si="389"/>
        <v>3.7756216423472141E-2</v>
      </c>
      <c r="AK314" s="68">
        <f t="shared" si="389"/>
        <v>3.8700121834058944E-2</v>
      </c>
      <c r="AL314" s="68">
        <f t="shared" si="389"/>
        <v>3.9667624879910407E-2</v>
      </c>
      <c r="AM314" s="68">
        <f t="shared" si="389"/>
        <v>4.0659315501908169E-2</v>
      </c>
      <c r="AN314" s="68">
        <f t="shared" si="389"/>
        <v>4.1675798389455863E-2</v>
      </c>
      <c r="AO314" s="68">
        <f t="shared" si="389"/>
        <v>4.2717693349192259E-2</v>
      </c>
      <c r="AP314" s="68">
        <f t="shared" si="389"/>
        <v>4.3785635682922062E-2</v>
      </c>
      <c r="AQ314" s="68">
        <f t="shared" si="389"/>
        <v>4.4880276574995111E-2</v>
      </c>
      <c r="AR314" s="68">
        <f t="shared" si="389"/>
        <v>4.6002283489369987E-2</v>
      </c>
      <c r="AS314" s="68">
        <f t="shared" si="389"/>
        <v>4.7152340576604231E-2</v>
      </c>
      <c r="AT314" s="68">
        <f t="shared" si="389"/>
        <v>4.8331149091019335E-2</v>
      </c>
      <c r="AU314" s="68">
        <f t="shared" si="389"/>
        <v>4.9539427818294811E-2</v>
      </c>
      <c r="AV314" s="68">
        <f t="shared" si="389"/>
        <v>5.0777913513752181E-2</v>
      </c>
      <c r="AW314" s="68">
        <f t="shared" si="389"/>
        <v>5.2047361351595982E-2</v>
      </c>
      <c r="AX314" s="68">
        <f t="shared" si="389"/>
        <v>5.334854538538588E-2</v>
      </c>
      <c r="AY314" s="68">
        <f t="shared" si="389"/>
        <v>5.4682259020020524E-2</v>
      </c>
      <c r="AZ314" s="68">
        <f t="shared" si="389"/>
        <v>5.6049315495521036E-2</v>
      </c>
      <c r="BA314" s="68">
        <f t="shared" si="389"/>
        <v>5.7450548382909056E-2</v>
      </c>
      <c r="BB314" s="68">
        <f t="shared" si="389"/>
        <v>5.8886812092481783E-2</v>
      </c>
      <c r="BC314" s="68">
        <f t="shared" si="389"/>
        <v>6.0358982394793821E-2</v>
      </c>
      <c r="BD314" s="68">
        <f t="shared" si="389"/>
        <v>6.1867956954663662E-2</v>
      </c>
      <c r="BE314" s="68">
        <f t="shared" si="389"/>
        <v>6.3414655878530249E-2</v>
      </c>
      <c r="BF314" s="68">
        <f t="shared" si="389"/>
        <v>6.5000022275493494E-2</v>
      </c>
      <c r="BG314" s="68">
        <f t="shared" si="389"/>
        <v>6.6625022832380823E-2</v>
      </c>
      <c r="BH314" s="68">
        <f t="shared" si="389"/>
        <v>6.8290648403190352E-2</v>
      </c>
      <c r="BI314" s="68">
        <f t="shared" si="389"/>
        <v>6.9997914613270096E-2</v>
      </c>
      <c r="BJ314" s="68">
        <f t="shared" si="389"/>
        <v>7.1747862478601848E-2</v>
      </c>
      <c r="BK314" s="68">
        <f t="shared" si="389"/>
        <v>7.3541559040566903E-2</v>
      </c>
      <c r="BL314" s="68">
        <f t="shared" si="389"/>
        <v>7.5380098016581049E-2</v>
      </c>
      <c r="BM314" s="68">
        <f t="shared" si="389"/>
        <v>7.7264600466995584E-2</v>
      </c>
      <c r="BN314" s="68">
        <f t="shared" si="389"/>
        <v>7.9196215478670465E-2</v>
      </c>
      <c r="BO314" s="68">
        <f t="shared" si="389"/>
        <v>8.1176120865637219E-2</v>
      </c>
    </row>
    <row r="315" spans="1:67" ht="12.75" customHeight="1" x14ac:dyDescent="0.2">
      <c r="A315" s="115">
        <v>4</v>
      </c>
      <c r="C315" s="17"/>
      <c r="D315" s="27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</row>
    <row r="316" spans="1:67" ht="12.75" customHeight="1" x14ac:dyDescent="0.2">
      <c r="A316" s="115">
        <v>5</v>
      </c>
      <c r="B316" s="17" t="s">
        <v>35</v>
      </c>
      <c r="C316" s="15"/>
      <c r="D316" s="27"/>
      <c r="F316" s="30"/>
    </row>
    <row r="317" spans="1:67" ht="12.75" customHeight="1" x14ac:dyDescent="0.2">
      <c r="A317" s="115">
        <v>6</v>
      </c>
      <c r="B317" s="16"/>
      <c r="C317" s="23" t="s">
        <v>243</v>
      </c>
      <c r="D317" s="27" t="s">
        <v>26</v>
      </c>
      <c r="F317" s="47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61">
        <f>Q$60</f>
        <v>5.7720356457426396</v>
      </c>
      <c r="S317" s="61">
        <f t="shared" ref="S317:AX317" si="390">R319+S235</f>
        <v>5.7143152892852136</v>
      </c>
      <c r="T317" s="61">
        <f t="shared" si="390"/>
        <v>5.6565949328277876</v>
      </c>
      <c r="U317" s="61">
        <f t="shared" si="390"/>
        <v>5.5988745763703616</v>
      </c>
      <c r="V317" s="61">
        <f t="shared" si="390"/>
        <v>5.5411542199129356</v>
      </c>
      <c r="W317" s="61">
        <f t="shared" si="390"/>
        <v>5.4834338634555095</v>
      </c>
      <c r="X317" s="61">
        <f t="shared" si="390"/>
        <v>5.4257135069980835</v>
      </c>
      <c r="Y317" s="61">
        <f t="shared" si="390"/>
        <v>5.3679931505406575</v>
      </c>
      <c r="Z317" s="61">
        <f t="shared" si="390"/>
        <v>5.3102727940832315</v>
      </c>
      <c r="AA317" s="61">
        <f t="shared" si="390"/>
        <v>5.2525524376258055</v>
      </c>
      <c r="AB317" s="61">
        <f t="shared" si="390"/>
        <v>5.1948320811683795</v>
      </c>
      <c r="AC317" s="61">
        <f t="shared" si="390"/>
        <v>5.1371117247109535</v>
      </c>
      <c r="AD317" s="61">
        <f t="shared" si="390"/>
        <v>5.0793913682535274</v>
      </c>
      <c r="AE317" s="61">
        <f t="shared" si="390"/>
        <v>5.0216710117961014</v>
      </c>
      <c r="AF317" s="61">
        <f t="shared" si="390"/>
        <v>4.9639506553386754</v>
      </c>
      <c r="AG317" s="61">
        <f t="shared" si="390"/>
        <v>4.9062302988812494</v>
      </c>
      <c r="AH317" s="61">
        <f t="shared" si="390"/>
        <v>4.8485099424238234</v>
      </c>
      <c r="AI317" s="61">
        <f t="shared" si="390"/>
        <v>4.7907895859663974</v>
      </c>
      <c r="AJ317" s="61">
        <f t="shared" si="390"/>
        <v>4.7330692295089714</v>
      </c>
      <c r="AK317" s="61">
        <f t="shared" si="390"/>
        <v>4.6753488730515453</v>
      </c>
      <c r="AL317" s="61">
        <f t="shared" si="390"/>
        <v>4.6176285165941193</v>
      </c>
      <c r="AM317" s="61">
        <f t="shared" si="390"/>
        <v>4.5599081601366933</v>
      </c>
      <c r="AN317" s="61">
        <f t="shared" si="390"/>
        <v>4.5021878036792673</v>
      </c>
      <c r="AO317" s="61">
        <f t="shared" si="390"/>
        <v>4.4444674472218413</v>
      </c>
      <c r="AP317" s="61">
        <f t="shared" si="390"/>
        <v>4.3867470907644153</v>
      </c>
      <c r="AQ317" s="61">
        <f t="shared" si="390"/>
        <v>4.3290267343069893</v>
      </c>
      <c r="AR317" s="61">
        <f t="shared" si="390"/>
        <v>4.2713063778495632</v>
      </c>
      <c r="AS317" s="61">
        <f t="shared" si="390"/>
        <v>4.2135860213921372</v>
      </c>
      <c r="AT317" s="61">
        <f t="shared" si="390"/>
        <v>4.1558656649347112</v>
      </c>
      <c r="AU317" s="61">
        <f t="shared" si="390"/>
        <v>4.0981453084772852</v>
      </c>
      <c r="AV317" s="61">
        <f t="shared" si="390"/>
        <v>4.0404249520198592</v>
      </c>
      <c r="AW317" s="61">
        <f t="shared" si="390"/>
        <v>3.9827045955624327</v>
      </c>
      <c r="AX317" s="61">
        <f t="shared" si="390"/>
        <v>3.9249842391050063</v>
      </c>
      <c r="AY317" s="61">
        <f t="shared" ref="AY317:BO317" si="391">AX319+AY235</f>
        <v>3.8672638826475798</v>
      </c>
      <c r="AZ317" s="61">
        <f t="shared" si="391"/>
        <v>3.8095435261901534</v>
      </c>
      <c r="BA317" s="61">
        <f t="shared" si="391"/>
        <v>3.7518231697327269</v>
      </c>
      <c r="BB317" s="61">
        <f t="shared" si="391"/>
        <v>3.6941028132753004</v>
      </c>
      <c r="BC317" s="61">
        <f t="shared" si="391"/>
        <v>3.636382456817874</v>
      </c>
      <c r="BD317" s="61">
        <f t="shared" si="391"/>
        <v>3.5786621003604475</v>
      </c>
      <c r="BE317" s="61">
        <f t="shared" si="391"/>
        <v>3.5209417439030211</v>
      </c>
      <c r="BF317" s="61">
        <f t="shared" si="391"/>
        <v>3.4632213874455946</v>
      </c>
      <c r="BG317" s="61">
        <f t="shared" si="391"/>
        <v>3.4055010309881681</v>
      </c>
      <c r="BH317" s="61">
        <f t="shared" si="391"/>
        <v>3.3477806745307417</v>
      </c>
      <c r="BI317" s="61">
        <f t="shared" si="391"/>
        <v>3.2900603180733152</v>
      </c>
      <c r="BJ317" s="61">
        <f t="shared" si="391"/>
        <v>3.2323399616158888</v>
      </c>
      <c r="BK317" s="61">
        <f t="shared" si="391"/>
        <v>3.1746196051584623</v>
      </c>
      <c r="BL317" s="61">
        <f t="shared" si="391"/>
        <v>3.1168992487010359</v>
      </c>
      <c r="BM317" s="61">
        <f t="shared" si="391"/>
        <v>3.0591788922436094</v>
      </c>
      <c r="BN317" s="61">
        <f t="shared" si="391"/>
        <v>3.0014585357861829</v>
      </c>
      <c r="BO317" s="61">
        <f t="shared" si="391"/>
        <v>2.9437381793287565</v>
      </c>
    </row>
    <row r="318" spans="1:67" ht="12.75" customHeight="1" x14ac:dyDescent="0.2">
      <c r="A318" s="115">
        <v>7</v>
      </c>
      <c r="B318" s="16"/>
      <c r="C318" s="23" t="s">
        <v>9</v>
      </c>
      <c r="D318" s="27" t="s">
        <v>26</v>
      </c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62">
        <f t="shared" ref="R318:AW318" si="392">IF(R317&gt;0.001,$R$127/$E$8,0)</f>
        <v>5.7720356457426396E-2</v>
      </c>
      <c r="S318" s="62">
        <f t="shared" si="392"/>
        <v>5.7720356457426396E-2</v>
      </c>
      <c r="T318" s="62">
        <f t="shared" si="392"/>
        <v>5.7720356457426396E-2</v>
      </c>
      <c r="U318" s="62">
        <f t="shared" si="392"/>
        <v>5.7720356457426396E-2</v>
      </c>
      <c r="V318" s="62">
        <f t="shared" si="392"/>
        <v>5.7720356457426396E-2</v>
      </c>
      <c r="W318" s="62">
        <f t="shared" si="392"/>
        <v>5.7720356457426396E-2</v>
      </c>
      <c r="X318" s="62">
        <f t="shared" si="392"/>
        <v>5.7720356457426396E-2</v>
      </c>
      <c r="Y318" s="62">
        <f t="shared" si="392"/>
        <v>5.7720356457426396E-2</v>
      </c>
      <c r="Z318" s="62">
        <f t="shared" si="392"/>
        <v>5.7720356457426396E-2</v>
      </c>
      <c r="AA318" s="62">
        <f t="shared" si="392"/>
        <v>5.7720356457426396E-2</v>
      </c>
      <c r="AB318" s="62">
        <f t="shared" si="392"/>
        <v>5.7720356457426396E-2</v>
      </c>
      <c r="AC318" s="62">
        <f t="shared" si="392"/>
        <v>5.7720356457426396E-2</v>
      </c>
      <c r="AD318" s="62">
        <f t="shared" si="392"/>
        <v>5.7720356457426396E-2</v>
      </c>
      <c r="AE318" s="62">
        <f t="shared" si="392"/>
        <v>5.7720356457426396E-2</v>
      </c>
      <c r="AF318" s="62">
        <f t="shared" si="392"/>
        <v>5.7720356457426396E-2</v>
      </c>
      <c r="AG318" s="62">
        <f t="shared" si="392"/>
        <v>5.7720356457426396E-2</v>
      </c>
      <c r="AH318" s="62">
        <f t="shared" si="392"/>
        <v>5.7720356457426396E-2</v>
      </c>
      <c r="AI318" s="62">
        <f t="shared" si="392"/>
        <v>5.7720356457426396E-2</v>
      </c>
      <c r="AJ318" s="62">
        <f t="shared" si="392"/>
        <v>5.7720356457426396E-2</v>
      </c>
      <c r="AK318" s="62">
        <f t="shared" si="392"/>
        <v>5.7720356457426396E-2</v>
      </c>
      <c r="AL318" s="62">
        <f t="shared" si="392"/>
        <v>5.7720356457426396E-2</v>
      </c>
      <c r="AM318" s="62">
        <f t="shared" si="392"/>
        <v>5.7720356457426396E-2</v>
      </c>
      <c r="AN318" s="62">
        <f t="shared" si="392"/>
        <v>5.7720356457426396E-2</v>
      </c>
      <c r="AO318" s="62">
        <f t="shared" si="392"/>
        <v>5.7720356457426396E-2</v>
      </c>
      <c r="AP318" s="62">
        <f t="shared" si="392"/>
        <v>5.7720356457426396E-2</v>
      </c>
      <c r="AQ318" s="62">
        <f t="shared" si="392"/>
        <v>5.7720356457426396E-2</v>
      </c>
      <c r="AR318" s="62">
        <f t="shared" si="392"/>
        <v>5.7720356457426396E-2</v>
      </c>
      <c r="AS318" s="62">
        <f t="shared" si="392"/>
        <v>5.7720356457426396E-2</v>
      </c>
      <c r="AT318" s="62">
        <f t="shared" si="392"/>
        <v>5.7720356457426396E-2</v>
      </c>
      <c r="AU318" s="62">
        <f t="shared" si="392"/>
        <v>5.7720356457426396E-2</v>
      </c>
      <c r="AV318" s="62">
        <f t="shared" si="392"/>
        <v>5.7720356457426396E-2</v>
      </c>
      <c r="AW318" s="62">
        <f t="shared" si="392"/>
        <v>5.7720356457426396E-2</v>
      </c>
      <c r="AX318" s="62">
        <f t="shared" ref="AX318:BO318" si="393">IF(AX317&gt;0.001,$R$127/$E$8,0)</f>
        <v>5.7720356457426396E-2</v>
      </c>
      <c r="AY318" s="62">
        <f t="shared" si="393"/>
        <v>5.7720356457426396E-2</v>
      </c>
      <c r="AZ318" s="62">
        <f t="shared" si="393"/>
        <v>5.7720356457426396E-2</v>
      </c>
      <c r="BA318" s="62">
        <f t="shared" si="393"/>
        <v>5.7720356457426396E-2</v>
      </c>
      <c r="BB318" s="62">
        <f t="shared" si="393"/>
        <v>5.7720356457426396E-2</v>
      </c>
      <c r="BC318" s="62">
        <f t="shared" si="393"/>
        <v>5.7720356457426396E-2</v>
      </c>
      <c r="BD318" s="62">
        <f t="shared" si="393"/>
        <v>5.7720356457426396E-2</v>
      </c>
      <c r="BE318" s="62">
        <f t="shared" si="393"/>
        <v>5.7720356457426396E-2</v>
      </c>
      <c r="BF318" s="62">
        <f t="shared" si="393"/>
        <v>5.7720356457426396E-2</v>
      </c>
      <c r="BG318" s="62">
        <f t="shared" si="393"/>
        <v>5.7720356457426396E-2</v>
      </c>
      <c r="BH318" s="62">
        <f t="shared" si="393"/>
        <v>5.7720356457426396E-2</v>
      </c>
      <c r="BI318" s="62">
        <f t="shared" si="393"/>
        <v>5.7720356457426396E-2</v>
      </c>
      <c r="BJ318" s="62">
        <f t="shared" si="393"/>
        <v>5.7720356457426396E-2</v>
      </c>
      <c r="BK318" s="62">
        <f t="shared" si="393"/>
        <v>5.7720356457426396E-2</v>
      </c>
      <c r="BL318" s="62">
        <f t="shared" si="393"/>
        <v>5.7720356457426396E-2</v>
      </c>
      <c r="BM318" s="62">
        <f t="shared" si="393"/>
        <v>5.7720356457426396E-2</v>
      </c>
      <c r="BN318" s="62">
        <f t="shared" si="393"/>
        <v>5.7720356457426396E-2</v>
      </c>
      <c r="BO318" s="62">
        <f t="shared" si="393"/>
        <v>5.7720356457426396E-2</v>
      </c>
    </row>
    <row r="319" spans="1:67" ht="12.75" customHeight="1" x14ac:dyDescent="0.2">
      <c r="A319" s="115">
        <v>8</v>
      </c>
      <c r="C319" s="23" t="s">
        <v>244</v>
      </c>
      <c r="D319" s="27" t="s">
        <v>26</v>
      </c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61">
        <f t="shared" ref="R319:BO319" si="394">R317-R318</f>
        <v>5.7143152892852136</v>
      </c>
      <c r="S319" s="61">
        <f t="shared" si="394"/>
        <v>5.6565949328277876</v>
      </c>
      <c r="T319" s="61">
        <f t="shared" si="394"/>
        <v>5.5988745763703616</v>
      </c>
      <c r="U319" s="61">
        <f t="shared" si="394"/>
        <v>5.5411542199129356</v>
      </c>
      <c r="V319" s="61">
        <f t="shared" si="394"/>
        <v>5.4834338634555095</v>
      </c>
      <c r="W319" s="61">
        <f t="shared" si="394"/>
        <v>5.4257135069980835</v>
      </c>
      <c r="X319" s="61">
        <f t="shared" si="394"/>
        <v>5.3679931505406575</v>
      </c>
      <c r="Y319" s="61">
        <f t="shared" si="394"/>
        <v>5.3102727940832315</v>
      </c>
      <c r="Z319" s="61">
        <f t="shared" si="394"/>
        <v>5.2525524376258055</v>
      </c>
      <c r="AA319" s="61">
        <f t="shared" si="394"/>
        <v>5.1948320811683795</v>
      </c>
      <c r="AB319" s="61">
        <f t="shared" si="394"/>
        <v>5.1371117247109535</v>
      </c>
      <c r="AC319" s="61">
        <f t="shared" si="394"/>
        <v>5.0793913682535274</v>
      </c>
      <c r="AD319" s="61">
        <f t="shared" si="394"/>
        <v>5.0216710117961014</v>
      </c>
      <c r="AE319" s="61">
        <f t="shared" si="394"/>
        <v>4.9639506553386754</v>
      </c>
      <c r="AF319" s="61">
        <f t="shared" si="394"/>
        <v>4.9062302988812494</v>
      </c>
      <c r="AG319" s="61">
        <f t="shared" si="394"/>
        <v>4.8485099424238234</v>
      </c>
      <c r="AH319" s="61">
        <f t="shared" si="394"/>
        <v>4.7907895859663974</v>
      </c>
      <c r="AI319" s="61">
        <f t="shared" si="394"/>
        <v>4.7330692295089714</v>
      </c>
      <c r="AJ319" s="61">
        <f t="shared" si="394"/>
        <v>4.6753488730515453</v>
      </c>
      <c r="AK319" s="61">
        <f t="shared" si="394"/>
        <v>4.6176285165941193</v>
      </c>
      <c r="AL319" s="61">
        <f t="shared" si="394"/>
        <v>4.5599081601366933</v>
      </c>
      <c r="AM319" s="61">
        <f t="shared" si="394"/>
        <v>4.5021878036792673</v>
      </c>
      <c r="AN319" s="61">
        <f t="shared" si="394"/>
        <v>4.4444674472218413</v>
      </c>
      <c r="AO319" s="61">
        <f t="shared" si="394"/>
        <v>4.3867470907644153</v>
      </c>
      <c r="AP319" s="61">
        <f t="shared" si="394"/>
        <v>4.3290267343069893</v>
      </c>
      <c r="AQ319" s="61">
        <f t="shared" si="394"/>
        <v>4.2713063778495632</v>
      </c>
      <c r="AR319" s="61">
        <f t="shared" si="394"/>
        <v>4.2135860213921372</v>
      </c>
      <c r="AS319" s="61">
        <f t="shared" si="394"/>
        <v>4.1558656649347112</v>
      </c>
      <c r="AT319" s="61">
        <f t="shared" si="394"/>
        <v>4.0981453084772852</v>
      </c>
      <c r="AU319" s="61">
        <f t="shared" si="394"/>
        <v>4.0404249520198592</v>
      </c>
      <c r="AV319" s="61">
        <f t="shared" si="394"/>
        <v>3.9827045955624327</v>
      </c>
      <c r="AW319" s="61">
        <f t="shared" si="394"/>
        <v>3.9249842391050063</v>
      </c>
      <c r="AX319" s="61">
        <f t="shared" si="394"/>
        <v>3.8672638826475798</v>
      </c>
      <c r="AY319" s="61">
        <f t="shared" si="394"/>
        <v>3.8095435261901534</v>
      </c>
      <c r="AZ319" s="61">
        <f t="shared" si="394"/>
        <v>3.7518231697327269</v>
      </c>
      <c r="BA319" s="61">
        <f t="shared" si="394"/>
        <v>3.6941028132753004</v>
      </c>
      <c r="BB319" s="61">
        <f t="shared" si="394"/>
        <v>3.636382456817874</v>
      </c>
      <c r="BC319" s="61">
        <f t="shared" si="394"/>
        <v>3.5786621003604475</v>
      </c>
      <c r="BD319" s="61">
        <f t="shared" si="394"/>
        <v>3.5209417439030211</v>
      </c>
      <c r="BE319" s="61">
        <f t="shared" si="394"/>
        <v>3.4632213874455946</v>
      </c>
      <c r="BF319" s="61">
        <f t="shared" si="394"/>
        <v>3.4055010309881681</v>
      </c>
      <c r="BG319" s="61">
        <f t="shared" si="394"/>
        <v>3.3477806745307417</v>
      </c>
      <c r="BH319" s="61">
        <f t="shared" si="394"/>
        <v>3.2900603180733152</v>
      </c>
      <c r="BI319" s="61">
        <f t="shared" si="394"/>
        <v>3.2323399616158888</v>
      </c>
      <c r="BJ319" s="61">
        <f t="shared" si="394"/>
        <v>3.1746196051584623</v>
      </c>
      <c r="BK319" s="61">
        <f t="shared" si="394"/>
        <v>3.1168992487010359</v>
      </c>
      <c r="BL319" s="61">
        <f t="shared" si="394"/>
        <v>3.0591788922436094</v>
      </c>
      <c r="BM319" s="61">
        <f t="shared" si="394"/>
        <v>3.0014585357861829</v>
      </c>
      <c r="BN319" s="61">
        <f t="shared" si="394"/>
        <v>2.9437381793287565</v>
      </c>
      <c r="BO319" s="61">
        <f t="shared" si="394"/>
        <v>2.88601782287133</v>
      </c>
    </row>
    <row r="320" spans="1:67" ht="12.75" customHeight="1" x14ac:dyDescent="0.2">
      <c r="A320" s="115">
        <v>9</v>
      </c>
      <c r="C320" s="16" t="s">
        <v>14</v>
      </c>
      <c r="D320" s="27" t="s">
        <v>26</v>
      </c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63">
        <f t="shared" ref="R320:AU320" si="395">R318</f>
        <v>5.7720356457426396E-2</v>
      </c>
      <c r="S320" s="63">
        <f t="shared" si="395"/>
        <v>5.7720356457426396E-2</v>
      </c>
      <c r="T320" s="63">
        <f t="shared" si="395"/>
        <v>5.7720356457426396E-2</v>
      </c>
      <c r="U320" s="63">
        <f t="shared" si="395"/>
        <v>5.7720356457426396E-2</v>
      </c>
      <c r="V320" s="63">
        <f t="shared" si="395"/>
        <v>5.7720356457426396E-2</v>
      </c>
      <c r="W320" s="63">
        <f t="shared" si="395"/>
        <v>5.7720356457426396E-2</v>
      </c>
      <c r="X320" s="63">
        <f t="shared" si="395"/>
        <v>5.7720356457426396E-2</v>
      </c>
      <c r="Y320" s="63">
        <f t="shared" si="395"/>
        <v>5.7720356457426396E-2</v>
      </c>
      <c r="Z320" s="63">
        <f t="shared" si="395"/>
        <v>5.7720356457426396E-2</v>
      </c>
      <c r="AA320" s="63">
        <f t="shared" si="395"/>
        <v>5.7720356457426396E-2</v>
      </c>
      <c r="AB320" s="63">
        <f t="shared" si="395"/>
        <v>5.7720356457426396E-2</v>
      </c>
      <c r="AC320" s="63">
        <f t="shared" si="395"/>
        <v>5.7720356457426396E-2</v>
      </c>
      <c r="AD320" s="63">
        <f t="shared" si="395"/>
        <v>5.7720356457426396E-2</v>
      </c>
      <c r="AE320" s="63">
        <f t="shared" si="395"/>
        <v>5.7720356457426396E-2</v>
      </c>
      <c r="AF320" s="63">
        <f t="shared" si="395"/>
        <v>5.7720356457426396E-2</v>
      </c>
      <c r="AG320" s="63">
        <f t="shared" si="395"/>
        <v>5.7720356457426396E-2</v>
      </c>
      <c r="AH320" s="63">
        <f t="shared" si="395"/>
        <v>5.7720356457426396E-2</v>
      </c>
      <c r="AI320" s="63">
        <f t="shared" si="395"/>
        <v>5.7720356457426396E-2</v>
      </c>
      <c r="AJ320" s="63">
        <f t="shared" si="395"/>
        <v>5.7720356457426396E-2</v>
      </c>
      <c r="AK320" s="63">
        <f t="shared" si="395"/>
        <v>5.7720356457426396E-2</v>
      </c>
      <c r="AL320" s="63">
        <f t="shared" si="395"/>
        <v>5.7720356457426396E-2</v>
      </c>
      <c r="AM320" s="63">
        <f t="shared" si="395"/>
        <v>5.7720356457426396E-2</v>
      </c>
      <c r="AN320" s="63">
        <f t="shared" si="395"/>
        <v>5.7720356457426396E-2</v>
      </c>
      <c r="AO320" s="63">
        <f t="shared" si="395"/>
        <v>5.7720356457426396E-2</v>
      </c>
      <c r="AP320" s="63">
        <f t="shared" si="395"/>
        <v>5.7720356457426396E-2</v>
      </c>
      <c r="AQ320" s="63">
        <f t="shared" si="395"/>
        <v>5.7720356457426396E-2</v>
      </c>
      <c r="AR320" s="63">
        <f t="shared" si="395"/>
        <v>5.7720356457426396E-2</v>
      </c>
      <c r="AS320" s="63">
        <f t="shared" si="395"/>
        <v>5.7720356457426396E-2</v>
      </c>
      <c r="AT320" s="63">
        <f t="shared" si="395"/>
        <v>5.7720356457426396E-2</v>
      </c>
      <c r="AU320" s="63">
        <f t="shared" si="395"/>
        <v>5.7720356457426396E-2</v>
      </c>
      <c r="AV320" s="63">
        <f>MAX(0,AV319)</f>
        <v>3.9827045955624327</v>
      </c>
      <c r="AW320" s="63">
        <f t="shared" ref="AW320:BO320" si="396">AW318</f>
        <v>5.7720356457426396E-2</v>
      </c>
      <c r="AX320" s="63">
        <f t="shared" si="396"/>
        <v>5.7720356457426396E-2</v>
      </c>
      <c r="AY320" s="63">
        <f t="shared" si="396"/>
        <v>5.7720356457426396E-2</v>
      </c>
      <c r="AZ320" s="63">
        <f t="shared" si="396"/>
        <v>5.7720356457426396E-2</v>
      </c>
      <c r="BA320" s="63">
        <f t="shared" si="396"/>
        <v>5.7720356457426396E-2</v>
      </c>
      <c r="BB320" s="63">
        <f t="shared" si="396"/>
        <v>5.7720356457426396E-2</v>
      </c>
      <c r="BC320" s="63">
        <f t="shared" si="396"/>
        <v>5.7720356457426396E-2</v>
      </c>
      <c r="BD320" s="63">
        <f t="shared" si="396"/>
        <v>5.7720356457426396E-2</v>
      </c>
      <c r="BE320" s="63">
        <f t="shared" si="396"/>
        <v>5.7720356457426396E-2</v>
      </c>
      <c r="BF320" s="63">
        <f t="shared" si="396"/>
        <v>5.7720356457426396E-2</v>
      </c>
      <c r="BG320" s="63">
        <f t="shared" si="396"/>
        <v>5.7720356457426396E-2</v>
      </c>
      <c r="BH320" s="63">
        <f t="shared" si="396"/>
        <v>5.7720356457426396E-2</v>
      </c>
      <c r="BI320" s="63">
        <f t="shared" si="396"/>
        <v>5.7720356457426396E-2</v>
      </c>
      <c r="BJ320" s="63">
        <f t="shared" si="396"/>
        <v>5.7720356457426396E-2</v>
      </c>
      <c r="BK320" s="63">
        <f t="shared" si="396"/>
        <v>5.7720356457426396E-2</v>
      </c>
      <c r="BL320" s="63">
        <f t="shared" si="396"/>
        <v>5.7720356457426396E-2</v>
      </c>
      <c r="BM320" s="63">
        <f t="shared" si="396"/>
        <v>5.7720356457426396E-2</v>
      </c>
      <c r="BN320" s="63">
        <f t="shared" si="396"/>
        <v>5.7720356457426396E-2</v>
      </c>
      <c r="BO320" s="63">
        <f t="shared" si="396"/>
        <v>5.7720356457426396E-2</v>
      </c>
    </row>
    <row r="321" spans="1:67" ht="12.75" customHeight="1" x14ac:dyDescent="0.25">
      <c r="A321" s="115">
        <v>10</v>
      </c>
      <c r="C321"/>
      <c r="D321" s="27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</row>
    <row r="322" spans="1:67" ht="12.75" customHeight="1" x14ac:dyDescent="0.2">
      <c r="A322" s="115">
        <v>11</v>
      </c>
      <c r="B322" s="16" t="s">
        <v>15</v>
      </c>
      <c r="C322" s="17"/>
      <c r="D322" s="27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</row>
    <row r="323" spans="1:67" ht="12.75" customHeight="1" x14ac:dyDescent="0.2">
      <c r="A323" s="115">
        <v>12</v>
      </c>
      <c r="C323" s="18" t="s">
        <v>106</v>
      </c>
      <c r="D323" s="27" t="s">
        <v>26</v>
      </c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61">
        <f>R343</f>
        <v>0</v>
      </c>
      <c r="S323" s="61">
        <f t="shared" ref="S323:BO323" si="397">S343</f>
        <v>0</v>
      </c>
      <c r="T323" s="61">
        <f t="shared" si="397"/>
        <v>0</v>
      </c>
      <c r="U323" s="61">
        <f t="shared" si="397"/>
        <v>0</v>
      </c>
      <c r="V323" s="61">
        <f t="shared" si="397"/>
        <v>0</v>
      </c>
      <c r="W323" s="61">
        <f t="shared" si="397"/>
        <v>0</v>
      </c>
      <c r="X323" s="61">
        <f t="shared" si="397"/>
        <v>0</v>
      </c>
      <c r="Y323" s="61">
        <f t="shared" si="397"/>
        <v>0</v>
      </c>
      <c r="Z323" s="61">
        <f t="shared" si="397"/>
        <v>0</v>
      </c>
      <c r="AA323" s="61">
        <f t="shared" si="397"/>
        <v>0</v>
      </c>
      <c r="AB323" s="61">
        <f t="shared" si="397"/>
        <v>0</v>
      </c>
      <c r="AC323" s="61">
        <f t="shared" si="397"/>
        <v>0</v>
      </c>
      <c r="AD323" s="61">
        <f t="shared" si="397"/>
        <v>0</v>
      </c>
      <c r="AE323" s="61">
        <f t="shared" si="397"/>
        <v>0</v>
      </c>
      <c r="AF323" s="61">
        <f t="shared" si="397"/>
        <v>0</v>
      </c>
      <c r="AG323" s="61">
        <f t="shared" si="397"/>
        <v>0</v>
      </c>
      <c r="AH323" s="61">
        <f t="shared" si="397"/>
        <v>0</v>
      </c>
      <c r="AI323" s="61">
        <f t="shared" si="397"/>
        <v>0</v>
      </c>
      <c r="AJ323" s="61">
        <f t="shared" si="397"/>
        <v>0</v>
      </c>
      <c r="AK323" s="61">
        <f t="shared" si="397"/>
        <v>0</v>
      </c>
      <c r="AL323" s="61">
        <f t="shared" si="397"/>
        <v>0</v>
      </c>
      <c r="AM323" s="61">
        <f t="shared" si="397"/>
        <v>0</v>
      </c>
      <c r="AN323" s="61">
        <f t="shared" si="397"/>
        <v>0</v>
      </c>
      <c r="AO323" s="61">
        <f t="shared" si="397"/>
        <v>0</v>
      </c>
      <c r="AP323" s="61">
        <f t="shared" si="397"/>
        <v>0</v>
      </c>
      <c r="AQ323" s="61">
        <f t="shared" si="397"/>
        <v>0</v>
      </c>
      <c r="AR323" s="61">
        <f t="shared" si="397"/>
        <v>0</v>
      </c>
      <c r="AS323" s="61">
        <f t="shared" si="397"/>
        <v>0</v>
      </c>
      <c r="AT323" s="61">
        <f t="shared" si="397"/>
        <v>0</v>
      </c>
      <c r="AU323" s="61">
        <f t="shared" si="397"/>
        <v>0</v>
      </c>
      <c r="AV323" s="61">
        <f t="shared" si="397"/>
        <v>0</v>
      </c>
      <c r="AW323" s="61">
        <f t="shared" si="397"/>
        <v>0</v>
      </c>
      <c r="AX323" s="61">
        <f t="shared" si="397"/>
        <v>0</v>
      </c>
      <c r="AY323" s="61">
        <f t="shared" si="397"/>
        <v>0</v>
      </c>
      <c r="AZ323" s="61">
        <f t="shared" si="397"/>
        <v>0</v>
      </c>
      <c r="BA323" s="61">
        <f t="shared" si="397"/>
        <v>0</v>
      </c>
      <c r="BB323" s="61">
        <f t="shared" si="397"/>
        <v>0</v>
      </c>
      <c r="BC323" s="61">
        <f t="shared" si="397"/>
        <v>0</v>
      </c>
      <c r="BD323" s="61">
        <f t="shared" si="397"/>
        <v>0</v>
      </c>
      <c r="BE323" s="61">
        <f t="shared" si="397"/>
        <v>0</v>
      </c>
      <c r="BF323" s="61">
        <f t="shared" si="397"/>
        <v>0</v>
      </c>
      <c r="BG323" s="61">
        <f t="shared" si="397"/>
        <v>0</v>
      </c>
      <c r="BH323" s="61">
        <f t="shared" si="397"/>
        <v>0</v>
      </c>
      <c r="BI323" s="61">
        <f t="shared" si="397"/>
        <v>0</v>
      </c>
      <c r="BJ323" s="61">
        <f t="shared" si="397"/>
        <v>0</v>
      </c>
      <c r="BK323" s="61">
        <f t="shared" si="397"/>
        <v>0</v>
      </c>
      <c r="BL323" s="61">
        <f t="shared" si="397"/>
        <v>0</v>
      </c>
      <c r="BM323" s="61">
        <f t="shared" si="397"/>
        <v>0</v>
      </c>
      <c r="BN323" s="61">
        <f t="shared" si="397"/>
        <v>0</v>
      </c>
      <c r="BO323" s="61">
        <f t="shared" si="397"/>
        <v>0</v>
      </c>
    </row>
    <row r="324" spans="1:67" ht="12.75" customHeight="1" x14ac:dyDescent="0.2">
      <c r="A324" s="115">
        <v>13</v>
      </c>
      <c r="C324" s="16" t="s">
        <v>16</v>
      </c>
      <c r="D324" s="27" t="s">
        <v>26</v>
      </c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63">
        <f t="shared" ref="R324:AW324" si="398">SUM(R323)</f>
        <v>0</v>
      </c>
      <c r="S324" s="63">
        <f t="shared" si="398"/>
        <v>0</v>
      </c>
      <c r="T324" s="63">
        <f t="shared" si="398"/>
        <v>0</v>
      </c>
      <c r="U324" s="63">
        <f t="shared" si="398"/>
        <v>0</v>
      </c>
      <c r="V324" s="63">
        <f t="shared" si="398"/>
        <v>0</v>
      </c>
      <c r="W324" s="63">
        <f t="shared" si="398"/>
        <v>0</v>
      </c>
      <c r="X324" s="63">
        <f t="shared" si="398"/>
        <v>0</v>
      </c>
      <c r="Y324" s="63">
        <f t="shared" si="398"/>
        <v>0</v>
      </c>
      <c r="Z324" s="63">
        <f t="shared" si="398"/>
        <v>0</v>
      </c>
      <c r="AA324" s="63">
        <f t="shared" si="398"/>
        <v>0</v>
      </c>
      <c r="AB324" s="63">
        <f t="shared" si="398"/>
        <v>0</v>
      </c>
      <c r="AC324" s="63">
        <f t="shared" si="398"/>
        <v>0</v>
      </c>
      <c r="AD324" s="63">
        <f t="shared" si="398"/>
        <v>0</v>
      </c>
      <c r="AE324" s="63">
        <f t="shared" si="398"/>
        <v>0</v>
      </c>
      <c r="AF324" s="63">
        <f t="shared" si="398"/>
        <v>0</v>
      </c>
      <c r="AG324" s="63">
        <f t="shared" si="398"/>
        <v>0</v>
      </c>
      <c r="AH324" s="63">
        <f t="shared" si="398"/>
        <v>0</v>
      </c>
      <c r="AI324" s="63">
        <f t="shared" si="398"/>
        <v>0</v>
      </c>
      <c r="AJ324" s="63">
        <f t="shared" si="398"/>
        <v>0</v>
      </c>
      <c r="AK324" s="63">
        <f t="shared" si="398"/>
        <v>0</v>
      </c>
      <c r="AL324" s="63">
        <f t="shared" si="398"/>
        <v>0</v>
      </c>
      <c r="AM324" s="63">
        <f t="shared" si="398"/>
        <v>0</v>
      </c>
      <c r="AN324" s="63">
        <f t="shared" si="398"/>
        <v>0</v>
      </c>
      <c r="AO324" s="63">
        <f t="shared" si="398"/>
        <v>0</v>
      </c>
      <c r="AP324" s="63">
        <f t="shared" si="398"/>
        <v>0</v>
      </c>
      <c r="AQ324" s="63">
        <f t="shared" si="398"/>
        <v>0</v>
      </c>
      <c r="AR324" s="63">
        <f t="shared" si="398"/>
        <v>0</v>
      </c>
      <c r="AS324" s="63">
        <f t="shared" si="398"/>
        <v>0</v>
      </c>
      <c r="AT324" s="63">
        <f t="shared" si="398"/>
        <v>0</v>
      </c>
      <c r="AU324" s="63">
        <f t="shared" si="398"/>
        <v>0</v>
      </c>
      <c r="AV324" s="63">
        <f t="shared" si="398"/>
        <v>0</v>
      </c>
      <c r="AW324" s="63">
        <f t="shared" si="398"/>
        <v>0</v>
      </c>
      <c r="AX324" s="63">
        <f t="shared" ref="AX324:BO324" si="399">SUM(AX323)</f>
        <v>0</v>
      </c>
      <c r="AY324" s="63">
        <f t="shared" si="399"/>
        <v>0</v>
      </c>
      <c r="AZ324" s="63">
        <f t="shared" si="399"/>
        <v>0</v>
      </c>
      <c r="BA324" s="63">
        <f t="shared" si="399"/>
        <v>0</v>
      </c>
      <c r="BB324" s="63">
        <f t="shared" si="399"/>
        <v>0</v>
      </c>
      <c r="BC324" s="63">
        <f t="shared" si="399"/>
        <v>0</v>
      </c>
      <c r="BD324" s="63">
        <f t="shared" si="399"/>
        <v>0</v>
      </c>
      <c r="BE324" s="63">
        <f t="shared" si="399"/>
        <v>0</v>
      </c>
      <c r="BF324" s="63">
        <f t="shared" si="399"/>
        <v>0</v>
      </c>
      <c r="BG324" s="63">
        <f t="shared" si="399"/>
        <v>0</v>
      </c>
      <c r="BH324" s="63">
        <f t="shared" si="399"/>
        <v>0</v>
      </c>
      <c r="BI324" s="63">
        <f t="shared" si="399"/>
        <v>0</v>
      </c>
      <c r="BJ324" s="63">
        <f t="shared" si="399"/>
        <v>0</v>
      </c>
      <c r="BK324" s="63">
        <f t="shared" si="399"/>
        <v>0</v>
      </c>
      <c r="BL324" s="63">
        <f t="shared" si="399"/>
        <v>0</v>
      </c>
      <c r="BM324" s="63">
        <f t="shared" si="399"/>
        <v>0</v>
      </c>
      <c r="BN324" s="63">
        <f t="shared" si="399"/>
        <v>0</v>
      </c>
      <c r="BO324" s="63">
        <f t="shared" si="399"/>
        <v>0</v>
      </c>
    </row>
    <row r="325" spans="1:67" ht="12.75" customHeight="1" x14ac:dyDescent="0.2">
      <c r="A325" s="115">
        <v>14</v>
      </c>
      <c r="C325" s="16"/>
      <c r="D325" s="16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</row>
    <row r="326" spans="1:67" ht="12.75" customHeight="1" x14ac:dyDescent="0.2">
      <c r="A326" s="115">
        <v>15</v>
      </c>
      <c r="B326" s="17" t="s">
        <v>217</v>
      </c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66">
        <f t="shared" ref="R326:BO326" si="400">R314+R320+R324</f>
        <v>8.1928355293859736E-2</v>
      </c>
      <c r="S326" s="66">
        <f t="shared" si="400"/>
        <v>8.2533555264770575E-2</v>
      </c>
      <c r="T326" s="66">
        <f t="shared" si="400"/>
        <v>8.3153885234954178E-2</v>
      </c>
      <c r="U326" s="66">
        <f t="shared" si="400"/>
        <v>8.3789723454392367E-2</v>
      </c>
      <c r="V326" s="66">
        <f t="shared" si="400"/>
        <v>8.4441457629316513E-2</v>
      </c>
      <c r="W326" s="66">
        <f t="shared" si="400"/>
        <v>8.510948515861376E-2</v>
      </c>
      <c r="X326" s="66">
        <f t="shared" si="400"/>
        <v>8.5794213376143444E-2</v>
      </c>
      <c r="Y326" s="66">
        <f t="shared" si="400"/>
        <v>8.6496059799111374E-2</v>
      </c>
      <c r="Z326" s="66">
        <f t="shared" si="400"/>
        <v>8.7215452382653491E-2</v>
      </c>
      <c r="AA326" s="66">
        <f t="shared" si="400"/>
        <v>8.795282978078417E-2</v>
      </c>
      <c r="AB326" s="66">
        <f t="shared" si="400"/>
        <v>8.87086416138681E-2</v>
      </c>
      <c r="AC326" s="66">
        <f t="shared" si="400"/>
        <v>8.9483348742779148E-2</v>
      </c>
      <c r="AD326" s="66">
        <f t="shared" si="400"/>
        <v>9.0277423549912972E-2</v>
      </c>
      <c r="AE326" s="66">
        <f t="shared" si="400"/>
        <v>9.1091350227225115E-2</v>
      </c>
      <c r="AF326" s="66">
        <f t="shared" si="400"/>
        <v>9.1925625071470091E-2</v>
      </c>
      <c r="AG326" s="66">
        <f t="shared" si="400"/>
        <v>9.2780756786821184E-2</v>
      </c>
      <c r="AH326" s="66">
        <f t="shared" si="400"/>
        <v>9.3657266795056038E-2</v>
      </c>
      <c r="AI326" s="66">
        <f t="shared" si="400"/>
        <v>9.4555689553496775E-2</v>
      </c>
      <c r="AJ326" s="66">
        <f t="shared" si="400"/>
        <v>9.547657288089853E-2</v>
      </c>
      <c r="AK326" s="66">
        <f t="shared" si="400"/>
        <v>9.642047829148534E-2</v>
      </c>
      <c r="AL326" s="66">
        <f t="shared" si="400"/>
        <v>9.738798133733681E-2</v>
      </c>
      <c r="AM326" s="66">
        <f t="shared" si="400"/>
        <v>9.8379671959334558E-2</v>
      </c>
      <c r="AN326" s="66">
        <f t="shared" si="400"/>
        <v>9.9396154846882259E-2</v>
      </c>
      <c r="AO326" s="66">
        <f t="shared" si="400"/>
        <v>0.10043804980661866</v>
      </c>
      <c r="AP326" s="66">
        <f t="shared" si="400"/>
        <v>0.10150599214034846</v>
      </c>
      <c r="AQ326" s="66">
        <f t="shared" si="400"/>
        <v>0.10260063303242151</v>
      </c>
      <c r="AR326" s="66">
        <f t="shared" si="400"/>
        <v>0.10372263994679638</v>
      </c>
      <c r="AS326" s="66">
        <f t="shared" si="400"/>
        <v>0.10487269703403063</v>
      </c>
      <c r="AT326" s="66">
        <f t="shared" si="400"/>
        <v>0.10605150554844572</v>
      </c>
      <c r="AU326" s="66">
        <f t="shared" si="400"/>
        <v>0.10725978427572121</v>
      </c>
      <c r="AV326" s="66">
        <f t="shared" si="400"/>
        <v>4.033482509076185</v>
      </c>
      <c r="AW326" s="66">
        <f t="shared" si="400"/>
        <v>0.10976771780902238</v>
      </c>
      <c r="AX326" s="66">
        <f t="shared" si="400"/>
        <v>0.11106890184281228</v>
      </c>
      <c r="AY326" s="66">
        <f t="shared" si="400"/>
        <v>0.11240261547744693</v>
      </c>
      <c r="AZ326" s="66">
        <f t="shared" si="400"/>
        <v>0.11376967195294743</v>
      </c>
      <c r="BA326" s="66">
        <f t="shared" si="400"/>
        <v>0.11517090484033546</v>
      </c>
      <c r="BB326" s="66">
        <f t="shared" si="400"/>
        <v>0.11660716854990819</v>
      </c>
      <c r="BC326" s="66">
        <f t="shared" si="400"/>
        <v>0.11807933885222022</v>
      </c>
      <c r="BD326" s="66">
        <f t="shared" si="400"/>
        <v>0.11958831341209006</v>
      </c>
      <c r="BE326" s="66">
        <f t="shared" si="400"/>
        <v>0.12113501233595664</v>
      </c>
      <c r="BF326" s="66">
        <f t="shared" si="400"/>
        <v>0.12272037873291988</v>
      </c>
      <c r="BG326" s="66">
        <f t="shared" si="400"/>
        <v>0.12434537928980721</v>
      </c>
      <c r="BH326" s="66">
        <f t="shared" si="400"/>
        <v>0.12601100486061675</v>
      </c>
      <c r="BI326" s="66">
        <f t="shared" si="400"/>
        <v>0.1277182710706965</v>
      </c>
      <c r="BJ326" s="66">
        <f t="shared" si="400"/>
        <v>0.12946821893602825</v>
      </c>
      <c r="BK326" s="66">
        <f t="shared" si="400"/>
        <v>0.13126191549799329</v>
      </c>
      <c r="BL326" s="66">
        <f t="shared" si="400"/>
        <v>0.13310045447400745</v>
      </c>
      <c r="BM326" s="66">
        <f t="shared" si="400"/>
        <v>0.13498495692442197</v>
      </c>
      <c r="BN326" s="66">
        <f t="shared" si="400"/>
        <v>0.13691657193609685</v>
      </c>
      <c r="BO326" s="66">
        <f t="shared" si="400"/>
        <v>0.13889647732306362</v>
      </c>
    </row>
    <row r="327" spans="1:67" ht="12.75" customHeight="1" x14ac:dyDescent="0.2">
      <c r="A327" s="115">
        <v>16</v>
      </c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</row>
    <row r="328" spans="1:67" ht="12.75" customHeight="1" x14ac:dyDescent="0.2">
      <c r="A328" s="115">
        <v>17</v>
      </c>
      <c r="B328" s="16" t="s">
        <v>17</v>
      </c>
    </row>
    <row r="329" spans="1:67" ht="12.75" customHeight="1" x14ac:dyDescent="0.2">
      <c r="A329" s="115">
        <v>18</v>
      </c>
      <c r="B329" s="29" t="s">
        <v>73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67">
        <f>R326</f>
        <v>8.1928355293859736E-2</v>
      </c>
      <c r="S329" s="67">
        <f t="shared" ref="S329:BO329" si="401">S326</f>
        <v>8.2533555264770575E-2</v>
      </c>
      <c r="T329" s="67">
        <f t="shared" si="401"/>
        <v>8.3153885234954178E-2</v>
      </c>
      <c r="U329" s="67">
        <f t="shared" si="401"/>
        <v>8.3789723454392367E-2</v>
      </c>
      <c r="V329" s="67">
        <f t="shared" si="401"/>
        <v>8.4441457629316513E-2</v>
      </c>
      <c r="W329" s="67">
        <f t="shared" si="401"/>
        <v>8.510948515861376E-2</v>
      </c>
      <c r="X329" s="67">
        <f t="shared" si="401"/>
        <v>8.5794213376143444E-2</v>
      </c>
      <c r="Y329" s="67">
        <f t="shared" si="401"/>
        <v>8.6496059799111374E-2</v>
      </c>
      <c r="Z329" s="67">
        <f t="shared" si="401"/>
        <v>8.7215452382653491E-2</v>
      </c>
      <c r="AA329" s="67">
        <f t="shared" si="401"/>
        <v>8.795282978078417E-2</v>
      </c>
      <c r="AB329" s="67">
        <f t="shared" si="401"/>
        <v>8.87086416138681E-2</v>
      </c>
      <c r="AC329" s="67">
        <f t="shared" si="401"/>
        <v>8.9483348742779148E-2</v>
      </c>
      <c r="AD329" s="67">
        <f t="shared" si="401"/>
        <v>9.0277423549912972E-2</v>
      </c>
      <c r="AE329" s="67">
        <f t="shared" si="401"/>
        <v>9.1091350227225115E-2</v>
      </c>
      <c r="AF329" s="67">
        <f t="shared" si="401"/>
        <v>9.1925625071470091E-2</v>
      </c>
      <c r="AG329" s="67">
        <f t="shared" si="401"/>
        <v>9.2780756786821184E-2</v>
      </c>
      <c r="AH329" s="67">
        <f t="shared" si="401"/>
        <v>9.3657266795056038E-2</v>
      </c>
      <c r="AI329" s="67">
        <f t="shared" si="401"/>
        <v>9.4555689553496775E-2</v>
      </c>
      <c r="AJ329" s="67">
        <f t="shared" si="401"/>
        <v>9.547657288089853E-2</v>
      </c>
      <c r="AK329" s="67">
        <f t="shared" si="401"/>
        <v>9.642047829148534E-2</v>
      </c>
      <c r="AL329" s="67">
        <f t="shared" si="401"/>
        <v>9.738798133733681E-2</v>
      </c>
      <c r="AM329" s="67">
        <f t="shared" si="401"/>
        <v>9.8379671959334558E-2</v>
      </c>
      <c r="AN329" s="67">
        <f t="shared" si="401"/>
        <v>9.9396154846882259E-2</v>
      </c>
      <c r="AO329" s="67">
        <f t="shared" si="401"/>
        <v>0.10043804980661866</v>
      </c>
      <c r="AP329" s="67">
        <f t="shared" si="401"/>
        <v>0.10150599214034846</v>
      </c>
      <c r="AQ329" s="67">
        <f t="shared" si="401"/>
        <v>0.10260063303242151</v>
      </c>
      <c r="AR329" s="67">
        <f t="shared" si="401"/>
        <v>0.10372263994679638</v>
      </c>
      <c r="AS329" s="67">
        <f t="shared" si="401"/>
        <v>0.10487269703403063</v>
      </c>
      <c r="AT329" s="67">
        <f t="shared" si="401"/>
        <v>0.10605150554844572</v>
      </c>
      <c r="AU329" s="67">
        <f t="shared" si="401"/>
        <v>0.10725978427572121</v>
      </c>
      <c r="AV329" s="67">
        <f t="shared" si="401"/>
        <v>4.033482509076185</v>
      </c>
      <c r="AW329" s="67">
        <f t="shared" si="401"/>
        <v>0.10976771780902238</v>
      </c>
      <c r="AX329" s="67">
        <f t="shared" si="401"/>
        <v>0.11106890184281228</v>
      </c>
      <c r="AY329" s="67">
        <f t="shared" si="401"/>
        <v>0.11240261547744693</v>
      </c>
      <c r="AZ329" s="67">
        <f t="shared" si="401"/>
        <v>0.11376967195294743</v>
      </c>
      <c r="BA329" s="67">
        <f t="shared" si="401"/>
        <v>0.11517090484033546</v>
      </c>
      <c r="BB329" s="67">
        <f t="shared" si="401"/>
        <v>0.11660716854990819</v>
      </c>
      <c r="BC329" s="67">
        <f t="shared" si="401"/>
        <v>0.11807933885222022</v>
      </c>
      <c r="BD329" s="67">
        <f t="shared" si="401"/>
        <v>0.11958831341209006</v>
      </c>
      <c r="BE329" s="67">
        <f t="shared" si="401"/>
        <v>0.12113501233595664</v>
      </c>
      <c r="BF329" s="67">
        <f t="shared" si="401"/>
        <v>0.12272037873291988</v>
      </c>
      <c r="BG329" s="67">
        <f t="shared" si="401"/>
        <v>0.12434537928980721</v>
      </c>
      <c r="BH329" s="67">
        <f t="shared" si="401"/>
        <v>0.12601100486061675</v>
      </c>
      <c r="BI329" s="67">
        <f t="shared" si="401"/>
        <v>0.1277182710706965</v>
      </c>
      <c r="BJ329" s="67">
        <f t="shared" si="401"/>
        <v>0.12946821893602825</v>
      </c>
      <c r="BK329" s="67">
        <f t="shared" si="401"/>
        <v>0.13126191549799329</v>
      </c>
      <c r="BL329" s="67">
        <f t="shared" si="401"/>
        <v>0.13310045447400745</v>
      </c>
      <c r="BM329" s="67">
        <f t="shared" si="401"/>
        <v>0.13498495692442197</v>
      </c>
      <c r="BN329" s="67">
        <f t="shared" si="401"/>
        <v>0.13691657193609685</v>
      </c>
      <c r="BO329" s="67">
        <f t="shared" si="401"/>
        <v>0.13889647732306362</v>
      </c>
    </row>
    <row r="330" spans="1:67" ht="12.75" customHeight="1" x14ac:dyDescent="0.2">
      <c r="A330" s="115">
        <v>19</v>
      </c>
      <c r="B330" s="73" t="str">
        <f>"Margin to meet TIER of "&amp;E192</f>
        <v>Margin to meet TIER of 0.06</v>
      </c>
      <c r="C330" s="29"/>
      <c r="D330" s="29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67">
        <f t="shared" ref="R330:BO330" si="402">($E$23-1)*R324</f>
        <v>0</v>
      </c>
      <c r="S330" s="67">
        <f t="shared" si="402"/>
        <v>0</v>
      </c>
      <c r="T330" s="67">
        <f t="shared" si="402"/>
        <v>0</v>
      </c>
      <c r="U330" s="67">
        <f t="shared" si="402"/>
        <v>0</v>
      </c>
      <c r="V330" s="67">
        <f t="shared" si="402"/>
        <v>0</v>
      </c>
      <c r="W330" s="67">
        <f t="shared" si="402"/>
        <v>0</v>
      </c>
      <c r="X330" s="67">
        <f t="shared" si="402"/>
        <v>0</v>
      </c>
      <c r="Y330" s="67">
        <f t="shared" si="402"/>
        <v>0</v>
      </c>
      <c r="Z330" s="67">
        <f t="shared" si="402"/>
        <v>0</v>
      </c>
      <c r="AA330" s="67">
        <f t="shared" si="402"/>
        <v>0</v>
      </c>
      <c r="AB330" s="67">
        <f t="shared" si="402"/>
        <v>0</v>
      </c>
      <c r="AC330" s="67">
        <f t="shared" si="402"/>
        <v>0</v>
      </c>
      <c r="AD330" s="67">
        <f t="shared" si="402"/>
        <v>0</v>
      </c>
      <c r="AE330" s="67">
        <f t="shared" si="402"/>
        <v>0</v>
      </c>
      <c r="AF330" s="67">
        <f t="shared" si="402"/>
        <v>0</v>
      </c>
      <c r="AG330" s="67">
        <f t="shared" si="402"/>
        <v>0</v>
      </c>
      <c r="AH330" s="67">
        <f t="shared" si="402"/>
        <v>0</v>
      </c>
      <c r="AI330" s="67">
        <f t="shared" si="402"/>
        <v>0</v>
      </c>
      <c r="AJ330" s="67">
        <f t="shared" si="402"/>
        <v>0</v>
      </c>
      <c r="AK330" s="67">
        <f t="shared" si="402"/>
        <v>0</v>
      </c>
      <c r="AL330" s="67">
        <f t="shared" si="402"/>
        <v>0</v>
      </c>
      <c r="AM330" s="67">
        <f t="shared" si="402"/>
        <v>0</v>
      </c>
      <c r="AN330" s="67">
        <f t="shared" si="402"/>
        <v>0</v>
      </c>
      <c r="AO330" s="67">
        <f t="shared" si="402"/>
        <v>0</v>
      </c>
      <c r="AP330" s="67">
        <f t="shared" si="402"/>
        <v>0</v>
      </c>
      <c r="AQ330" s="67">
        <f t="shared" si="402"/>
        <v>0</v>
      </c>
      <c r="AR330" s="67">
        <f t="shared" si="402"/>
        <v>0</v>
      </c>
      <c r="AS330" s="67">
        <f t="shared" si="402"/>
        <v>0</v>
      </c>
      <c r="AT330" s="67">
        <f t="shared" si="402"/>
        <v>0</v>
      </c>
      <c r="AU330" s="67">
        <f t="shared" si="402"/>
        <v>0</v>
      </c>
      <c r="AV330" s="67">
        <f t="shared" si="402"/>
        <v>0</v>
      </c>
      <c r="AW330" s="67">
        <f t="shared" si="402"/>
        <v>0</v>
      </c>
      <c r="AX330" s="67">
        <f t="shared" si="402"/>
        <v>0</v>
      </c>
      <c r="AY330" s="67">
        <f t="shared" si="402"/>
        <v>0</v>
      </c>
      <c r="AZ330" s="67">
        <f t="shared" si="402"/>
        <v>0</v>
      </c>
      <c r="BA330" s="67">
        <f t="shared" si="402"/>
        <v>0</v>
      </c>
      <c r="BB330" s="67">
        <f t="shared" si="402"/>
        <v>0</v>
      </c>
      <c r="BC330" s="67">
        <f t="shared" si="402"/>
        <v>0</v>
      </c>
      <c r="BD330" s="67">
        <f t="shared" si="402"/>
        <v>0</v>
      </c>
      <c r="BE330" s="67">
        <f t="shared" si="402"/>
        <v>0</v>
      </c>
      <c r="BF330" s="67">
        <f t="shared" si="402"/>
        <v>0</v>
      </c>
      <c r="BG330" s="67">
        <f t="shared" si="402"/>
        <v>0</v>
      </c>
      <c r="BH330" s="67">
        <f t="shared" si="402"/>
        <v>0</v>
      </c>
      <c r="BI330" s="67">
        <f t="shared" si="402"/>
        <v>0</v>
      </c>
      <c r="BJ330" s="67">
        <f t="shared" si="402"/>
        <v>0</v>
      </c>
      <c r="BK330" s="67">
        <f t="shared" si="402"/>
        <v>0</v>
      </c>
      <c r="BL330" s="67">
        <f t="shared" si="402"/>
        <v>0</v>
      </c>
      <c r="BM330" s="67">
        <f t="shared" si="402"/>
        <v>0</v>
      </c>
      <c r="BN330" s="67">
        <f t="shared" si="402"/>
        <v>0</v>
      </c>
      <c r="BO330" s="67">
        <f t="shared" si="402"/>
        <v>0</v>
      </c>
    </row>
    <row r="331" spans="1:67" ht="12.75" customHeight="1" x14ac:dyDescent="0.2">
      <c r="A331" s="115">
        <v>20</v>
      </c>
      <c r="B331" s="73" t="s">
        <v>254</v>
      </c>
      <c r="C331" s="29"/>
      <c r="D331" s="29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67">
        <f>-R361</f>
        <v>0</v>
      </c>
      <c r="S331" s="67">
        <f t="shared" ref="S331:AU331" si="403">-S361</f>
        <v>0</v>
      </c>
      <c r="T331" s="67">
        <f t="shared" si="403"/>
        <v>0</v>
      </c>
      <c r="U331" s="67">
        <f t="shared" si="403"/>
        <v>0</v>
      </c>
      <c r="V331" s="67">
        <f t="shared" si="403"/>
        <v>0</v>
      </c>
      <c r="W331" s="67">
        <f t="shared" si="403"/>
        <v>0</v>
      </c>
      <c r="X331" s="67">
        <f t="shared" si="403"/>
        <v>0</v>
      </c>
      <c r="Y331" s="67">
        <f t="shared" si="403"/>
        <v>0</v>
      </c>
      <c r="Z331" s="67">
        <f t="shared" si="403"/>
        <v>0</v>
      </c>
      <c r="AA331" s="67">
        <f t="shared" si="403"/>
        <v>0</v>
      </c>
      <c r="AB331" s="67">
        <f t="shared" si="403"/>
        <v>0</v>
      </c>
      <c r="AC331" s="67">
        <f t="shared" si="403"/>
        <v>0</v>
      </c>
      <c r="AD331" s="67">
        <f t="shared" si="403"/>
        <v>0</v>
      </c>
      <c r="AE331" s="67">
        <f t="shared" si="403"/>
        <v>0</v>
      </c>
      <c r="AF331" s="67">
        <f t="shared" si="403"/>
        <v>0</v>
      </c>
      <c r="AG331" s="67">
        <f t="shared" si="403"/>
        <v>0</v>
      </c>
      <c r="AH331" s="67">
        <f t="shared" si="403"/>
        <v>0</v>
      </c>
      <c r="AI331" s="67">
        <f t="shared" si="403"/>
        <v>0</v>
      </c>
      <c r="AJ331" s="67">
        <f t="shared" si="403"/>
        <v>0</v>
      </c>
      <c r="AK331" s="67">
        <f t="shared" si="403"/>
        <v>0</v>
      </c>
      <c r="AL331" s="67">
        <f t="shared" si="403"/>
        <v>0</v>
      </c>
      <c r="AM331" s="67">
        <f t="shared" si="403"/>
        <v>0</v>
      </c>
      <c r="AN331" s="67">
        <f t="shared" si="403"/>
        <v>0</v>
      </c>
      <c r="AO331" s="67">
        <f t="shared" si="403"/>
        <v>0</v>
      </c>
      <c r="AP331" s="67">
        <f t="shared" si="403"/>
        <v>0</v>
      </c>
      <c r="AQ331" s="67">
        <f t="shared" si="403"/>
        <v>0</v>
      </c>
      <c r="AR331" s="67">
        <f t="shared" si="403"/>
        <v>0</v>
      </c>
      <c r="AS331" s="67">
        <f t="shared" si="403"/>
        <v>0</v>
      </c>
      <c r="AT331" s="67">
        <f t="shared" si="403"/>
        <v>0</v>
      </c>
      <c r="AU331" s="67">
        <f t="shared" si="403"/>
        <v>0</v>
      </c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</row>
    <row r="332" spans="1:67" ht="12.75" customHeight="1" x14ac:dyDescent="0.2">
      <c r="A332" s="115">
        <v>21</v>
      </c>
      <c r="B332" s="17" t="s">
        <v>218</v>
      </c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76">
        <f>R329+R330</f>
        <v>8.1928355293859736E-2</v>
      </c>
      <c r="S332" s="76">
        <f t="shared" ref="S332:BO332" si="404">S329+S330</f>
        <v>8.2533555264770575E-2</v>
      </c>
      <c r="T332" s="76">
        <f t="shared" si="404"/>
        <v>8.3153885234954178E-2</v>
      </c>
      <c r="U332" s="76">
        <f t="shared" si="404"/>
        <v>8.3789723454392367E-2</v>
      </c>
      <c r="V332" s="76">
        <f t="shared" si="404"/>
        <v>8.4441457629316513E-2</v>
      </c>
      <c r="W332" s="76">
        <f t="shared" si="404"/>
        <v>8.510948515861376E-2</v>
      </c>
      <c r="X332" s="76">
        <f t="shared" si="404"/>
        <v>8.5794213376143444E-2</v>
      </c>
      <c r="Y332" s="76">
        <f t="shared" si="404"/>
        <v>8.6496059799111374E-2</v>
      </c>
      <c r="Z332" s="76">
        <f t="shared" si="404"/>
        <v>8.7215452382653491E-2</v>
      </c>
      <c r="AA332" s="76">
        <f t="shared" si="404"/>
        <v>8.795282978078417E-2</v>
      </c>
      <c r="AB332" s="76">
        <f t="shared" si="404"/>
        <v>8.87086416138681E-2</v>
      </c>
      <c r="AC332" s="76">
        <f t="shared" si="404"/>
        <v>8.9483348742779148E-2</v>
      </c>
      <c r="AD332" s="76">
        <f t="shared" si="404"/>
        <v>9.0277423549912972E-2</v>
      </c>
      <c r="AE332" s="76">
        <f t="shared" si="404"/>
        <v>9.1091350227225115E-2</v>
      </c>
      <c r="AF332" s="76">
        <f t="shared" si="404"/>
        <v>9.1925625071470091E-2</v>
      </c>
      <c r="AG332" s="76">
        <f t="shared" si="404"/>
        <v>9.2780756786821184E-2</v>
      </c>
      <c r="AH332" s="76">
        <f t="shared" si="404"/>
        <v>9.3657266795056038E-2</v>
      </c>
      <c r="AI332" s="76">
        <f t="shared" si="404"/>
        <v>9.4555689553496775E-2</v>
      </c>
      <c r="AJ332" s="76">
        <f t="shared" si="404"/>
        <v>9.547657288089853E-2</v>
      </c>
      <c r="AK332" s="76">
        <f t="shared" si="404"/>
        <v>9.642047829148534E-2</v>
      </c>
      <c r="AL332" s="76">
        <f t="shared" si="404"/>
        <v>9.738798133733681E-2</v>
      </c>
      <c r="AM332" s="76">
        <f t="shared" si="404"/>
        <v>9.8379671959334558E-2</v>
      </c>
      <c r="AN332" s="76">
        <f t="shared" si="404"/>
        <v>9.9396154846882259E-2</v>
      </c>
      <c r="AO332" s="76">
        <f t="shared" si="404"/>
        <v>0.10043804980661866</v>
      </c>
      <c r="AP332" s="76">
        <f t="shared" si="404"/>
        <v>0.10150599214034846</v>
      </c>
      <c r="AQ332" s="76">
        <f t="shared" si="404"/>
        <v>0.10260063303242151</v>
      </c>
      <c r="AR332" s="76">
        <f t="shared" si="404"/>
        <v>0.10372263994679638</v>
      </c>
      <c r="AS332" s="76">
        <f t="shared" si="404"/>
        <v>0.10487269703403063</v>
      </c>
      <c r="AT332" s="76">
        <f t="shared" si="404"/>
        <v>0.10605150554844572</v>
      </c>
      <c r="AU332" s="76">
        <f t="shared" si="404"/>
        <v>0.10725978427572121</v>
      </c>
      <c r="AV332" s="76">
        <f t="shared" si="404"/>
        <v>4.033482509076185</v>
      </c>
      <c r="AW332" s="76">
        <f t="shared" si="404"/>
        <v>0.10976771780902238</v>
      </c>
      <c r="AX332" s="76">
        <f t="shared" si="404"/>
        <v>0.11106890184281228</v>
      </c>
      <c r="AY332" s="76">
        <f t="shared" si="404"/>
        <v>0.11240261547744693</v>
      </c>
      <c r="AZ332" s="76">
        <f t="shared" si="404"/>
        <v>0.11376967195294743</v>
      </c>
      <c r="BA332" s="76">
        <f t="shared" si="404"/>
        <v>0.11517090484033546</v>
      </c>
      <c r="BB332" s="76">
        <f t="shared" si="404"/>
        <v>0.11660716854990819</v>
      </c>
      <c r="BC332" s="76">
        <f t="shared" si="404"/>
        <v>0.11807933885222022</v>
      </c>
      <c r="BD332" s="76">
        <f t="shared" si="404"/>
        <v>0.11958831341209006</v>
      </c>
      <c r="BE332" s="76">
        <f t="shared" si="404"/>
        <v>0.12113501233595664</v>
      </c>
      <c r="BF332" s="76">
        <f t="shared" si="404"/>
        <v>0.12272037873291988</v>
      </c>
      <c r="BG332" s="76">
        <f t="shared" si="404"/>
        <v>0.12434537928980721</v>
      </c>
      <c r="BH332" s="76">
        <f t="shared" si="404"/>
        <v>0.12601100486061675</v>
      </c>
      <c r="BI332" s="76">
        <f t="shared" si="404"/>
        <v>0.1277182710706965</v>
      </c>
      <c r="BJ332" s="76">
        <f t="shared" si="404"/>
        <v>0.12946821893602825</v>
      </c>
      <c r="BK332" s="76">
        <f t="shared" si="404"/>
        <v>0.13126191549799329</v>
      </c>
      <c r="BL332" s="76">
        <f t="shared" si="404"/>
        <v>0.13310045447400745</v>
      </c>
      <c r="BM332" s="76">
        <f t="shared" si="404"/>
        <v>0.13498495692442197</v>
      </c>
      <c r="BN332" s="76">
        <f t="shared" si="404"/>
        <v>0.13691657193609685</v>
      </c>
      <c r="BO332" s="76">
        <f t="shared" si="404"/>
        <v>0.13889647732306362</v>
      </c>
    </row>
    <row r="333" spans="1:67" ht="12.75" customHeight="1" x14ac:dyDescent="0.2">
      <c r="A333" s="115">
        <v>22</v>
      </c>
      <c r="B333" s="16"/>
      <c r="F333" s="19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</row>
    <row r="334" spans="1:67" ht="12.75" customHeight="1" x14ac:dyDescent="0.2">
      <c r="A334" s="115">
        <v>23</v>
      </c>
      <c r="B334" s="23" t="s">
        <v>79</v>
      </c>
      <c r="D334" s="23" t="s">
        <v>0</v>
      </c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>
        <f t="shared" ref="R334:AW334" si="405">$E$7</f>
        <v>2800000.1</v>
      </c>
      <c r="S334" s="46">
        <f t="shared" si="405"/>
        <v>2800000.1</v>
      </c>
      <c r="T334" s="46">
        <f t="shared" si="405"/>
        <v>2800000.1</v>
      </c>
      <c r="U334" s="46">
        <f t="shared" si="405"/>
        <v>2800000.1</v>
      </c>
      <c r="V334" s="46">
        <f t="shared" si="405"/>
        <v>2800000.1</v>
      </c>
      <c r="W334" s="46">
        <f t="shared" si="405"/>
        <v>2800000.1</v>
      </c>
      <c r="X334" s="46">
        <f t="shared" si="405"/>
        <v>2800000.1</v>
      </c>
      <c r="Y334" s="46">
        <f t="shared" si="405"/>
        <v>2800000.1</v>
      </c>
      <c r="Z334" s="46">
        <f t="shared" si="405"/>
        <v>2800000.1</v>
      </c>
      <c r="AA334" s="46">
        <f t="shared" si="405"/>
        <v>2800000.1</v>
      </c>
      <c r="AB334" s="46">
        <f t="shared" si="405"/>
        <v>2800000.1</v>
      </c>
      <c r="AC334" s="46">
        <f t="shared" si="405"/>
        <v>2800000.1</v>
      </c>
      <c r="AD334" s="46">
        <f t="shared" si="405"/>
        <v>2800000.1</v>
      </c>
      <c r="AE334" s="46">
        <f t="shared" si="405"/>
        <v>2800000.1</v>
      </c>
      <c r="AF334" s="46">
        <f t="shared" si="405"/>
        <v>2800000.1</v>
      </c>
      <c r="AG334" s="46">
        <f t="shared" si="405"/>
        <v>2800000.1</v>
      </c>
      <c r="AH334" s="46">
        <f t="shared" si="405"/>
        <v>2800000.1</v>
      </c>
      <c r="AI334" s="46">
        <f t="shared" si="405"/>
        <v>2800000.1</v>
      </c>
      <c r="AJ334" s="46">
        <f t="shared" si="405"/>
        <v>2800000.1</v>
      </c>
      <c r="AK334" s="46">
        <f t="shared" si="405"/>
        <v>2800000.1</v>
      </c>
      <c r="AL334" s="46">
        <f t="shared" si="405"/>
        <v>2800000.1</v>
      </c>
      <c r="AM334" s="46">
        <f t="shared" si="405"/>
        <v>2800000.1</v>
      </c>
      <c r="AN334" s="46">
        <f t="shared" si="405"/>
        <v>2800000.1</v>
      </c>
      <c r="AO334" s="46">
        <f t="shared" si="405"/>
        <v>2800000.1</v>
      </c>
      <c r="AP334" s="46">
        <f t="shared" si="405"/>
        <v>2800000.1</v>
      </c>
      <c r="AQ334" s="46">
        <f t="shared" si="405"/>
        <v>2800000.1</v>
      </c>
      <c r="AR334" s="46">
        <f t="shared" si="405"/>
        <v>2800000.1</v>
      </c>
      <c r="AS334" s="46">
        <f t="shared" si="405"/>
        <v>2800000.1</v>
      </c>
      <c r="AT334" s="46">
        <f t="shared" si="405"/>
        <v>2800000.1</v>
      </c>
      <c r="AU334" s="46">
        <f t="shared" si="405"/>
        <v>2800000.1</v>
      </c>
      <c r="AV334" s="46">
        <f t="shared" si="405"/>
        <v>2800000.1</v>
      </c>
      <c r="AW334" s="46">
        <f t="shared" si="405"/>
        <v>2800000.1</v>
      </c>
      <c r="AX334" s="46">
        <f t="shared" ref="AX334:BO334" si="406">$E$7</f>
        <v>2800000.1</v>
      </c>
      <c r="AY334" s="46">
        <f t="shared" si="406"/>
        <v>2800000.1</v>
      </c>
      <c r="AZ334" s="46">
        <f t="shared" si="406"/>
        <v>2800000.1</v>
      </c>
      <c r="BA334" s="46">
        <f t="shared" si="406"/>
        <v>2800000.1</v>
      </c>
      <c r="BB334" s="46">
        <f t="shared" si="406"/>
        <v>2800000.1</v>
      </c>
      <c r="BC334" s="46">
        <f t="shared" si="406"/>
        <v>2800000.1</v>
      </c>
      <c r="BD334" s="46">
        <f t="shared" si="406"/>
        <v>2800000.1</v>
      </c>
      <c r="BE334" s="46">
        <f t="shared" si="406"/>
        <v>2800000.1</v>
      </c>
      <c r="BF334" s="46">
        <f t="shared" si="406"/>
        <v>2800000.1</v>
      </c>
      <c r="BG334" s="46">
        <f t="shared" si="406"/>
        <v>2800000.1</v>
      </c>
      <c r="BH334" s="46">
        <f t="shared" si="406"/>
        <v>2800000.1</v>
      </c>
      <c r="BI334" s="46">
        <f t="shared" si="406"/>
        <v>2800000.1</v>
      </c>
      <c r="BJ334" s="46">
        <f t="shared" si="406"/>
        <v>2800000.1</v>
      </c>
      <c r="BK334" s="46">
        <f t="shared" si="406"/>
        <v>2800000.1</v>
      </c>
      <c r="BL334" s="46">
        <f t="shared" si="406"/>
        <v>2800000.1</v>
      </c>
      <c r="BM334" s="46">
        <f t="shared" si="406"/>
        <v>2800000.1</v>
      </c>
      <c r="BN334" s="46">
        <f t="shared" si="406"/>
        <v>2800000.1</v>
      </c>
      <c r="BO334" s="46">
        <f t="shared" si="406"/>
        <v>2800000.1</v>
      </c>
    </row>
    <row r="335" spans="1:67" ht="12.75" customHeight="1" x14ac:dyDescent="0.2">
      <c r="A335" s="115">
        <v>24</v>
      </c>
      <c r="B335" s="23" t="s">
        <v>82</v>
      </c>
      <c r="D335" s="23" t="s">
        <v>0</v>
      </c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>
        <f>R334*$E$20</f>
        <v>2660000.0949999997</v>
      </c>
      <c r="S335" s="46">
        <f t="shared" ref="S335:BO335" si="407">S334*$E$20</f>
        <v>2660000.0949999997</v>
      </c>
      <c r="T335" s="46">
        <f t="shared" si="407"/>
        <v>2660000.0949999997</v>
      </c>
      <c r="U335" s="46">
        <f t="shared" si="407"/>
        <v>2660000.0949999997</v>
      </c>
      <c r="V335" s="46">
        <f t="shared" si="407"/>
        <v>2660000.0949999997</v>
      </c>
      <c r="W335" s="46">
        <f t="shared" si="407"/>
        <v>2660000.0949999997</v>
      </c>
      <c r="X335" s="46">
        <f t="shared" si="407"/>
        <v>2660000.0949999997</v>
      </c>
      <c r="Y335" s="46">
        <f t="shared" si="407"/>
        <v>2660000.0949999997</v>
      </c>
      <c r="Z335" s="46">
        <f t="shared" si="407"/>
        <v>2660000.0949999997</v>
      </c>
      <c r="AA335" s="46">
        <f t="shared" si="407"/>
        <v>2660000.0949999997</v>
      </c>
      <c r="AB335" s="46">
        <f t="shared" si="407"/>
        <v>2660000.0949999997</v>
      </c>
      <c r="AC335" s="46">
        <f t="shared" si="407"/>
        <v>2660000.0949999997</v>
      </c>
      <c r="AD335" s="46">
        <f t="shared" si="407"/>
        <v>2660000.0949999997</v>
      </c>
      <c r="AE335" s="46">
        <f t="shared" si="407"/>
        <v>2660000.0949999997</v>
      </c>
      <c r="AF335" s="46">
        <f t="shared" si="407"/>
        <v>2660000.0949999997</v>
      </c>
      <c r="AG335" s="46">
        <f t="shared" si="407"/>
        <v>2660000.0949999997</v>
      </c>
      <c r="AH335" s="46">
        <f t="shared" si="407"/>
        <v>2660000.0949999997</v>
      </c>
      <c r="AI335" s="46">
        <f t="shared" si="407"/>
        <v>2660000.0949999997</v>
      </c>
      <c r="AJ335" s="46">
        <f t="shared" si="407"/>
        <v>2660000.0949999997</v>
      </c>
      <c r="AK335" s="46">
        <f t="shared" si="407"/>
        <v>2660000.0949999997</v>
      </c>
      <c r="AL335" s="46">
        <f t="shared" si="407"/>
        <v>2660000.0949999997</v>
      </c>
      <c r="AM335" s="46">
        <f t="shared" si="407"/>
        <v>2660000.0949999997</v>
      </c>
      <c r="AN335" s="46">
        <f t="shared" si="407"/>
        <v>2660000.0949999997</v>
      </c>
      <c r="AO335" s="46">
        <f t="shared" si="407"/>
        <v>2660000.0949999997</v>
      </c>
      <c r="AP335" s="46">
        <f t="shared" si="407"/>
        <v>2660000.0949999997</v>
      </c>
      <c r="AQ335" s="46">
        <f t="shared" si="407"/>
        <v>2660000.0949999997</v>
      </c>
      <c r="AR335" s="46">
        <f t="shared" si="407"/>
        <v>2660000.0949999997</v>
      </c>
      <c r="AS335" s="46">
        <f t="shared" si="407"/>
        <v>2660000.0949999997</v>
      </c>
      <c r="AT335" s="46">
        <f t="shared" si="407"/>
        <v>2660000.0949999997</v>
      </c>
      <c r="AU335" s="46">
        <f t="shared" si="407"/>
        <v>2660000.0949999997</v>
      </c>
      <c r="AV335" s="46">
        <f t="shared" si="407"/>
        <v>2660000.0949999997</v>
      </c>
      <c r="AW335" s="46">
        <f t="shared" si="407"/>
        <v>2660000.0949999997</v>
      </c>
      <c r="AX335" s="46">
        <f t="shared" si="407"/>
        <v>2660000.0949999997</v>
      </c>
      <c r="AY335" s="46">
        <f t="shared" si="407"/>
        <v>2660000.0949999997</v>
      </c>
      <c r="AZ335" s="46">
        <f t="shared" si="407"/>
        <v>2660000.0949999997</v>
      </c>
      <c r="BA335" s="46">
        <f t="shared" si="407"/>
        <v>2660000.0949999997</v>
      </c>
      <c r="BB335" s="46">
        <f t="shared" si="407"/>
        <v>2660000.0949999997</v>
      </c>
      <c r="BC335" s="46">
        <f t="shared" si="407"/>
        <v>2660000.0949999997</v>
      </c>
      <c r="BD335" s="46">
        <f t="shared" si="407"/>
        <v>2660000.0949999997</v>
      </c>
      <c r="BE335" s="46">
        <f t="shared" si="407"/>
        <v>2660000.0949999997</v>
      </c>
      <c r="BF335" s="46">
        <f t="shared" si="407"/>
        <v>2660000.0949999997</v>
      </c>
      <c r="BG335" s="46">
        <f t="shared" si="407"/>
        <v>2660000.0949999997</v>
      </c>
      <c r="BH335" s="46">
        <f t="shared" si="407"/>
        <v>2660000.0949999997</v>
      </c>
      <c r="BI335" s="46">
        <f t="shared" si="407"/>
        <v>2660000.0949999997</v>
      </c>
      <c r="BJ335" s="46">
        <f t="shared" si="407"/>
        <v>2660000.0949999997</v>
      </c>
      <c r="BK335" s="46">
        <f t="shared" si="407"/>
        <v>2660000.0949999997</v>
      </c>
      <c r="BL335" s="46">
        <f t="shared" si="407"/>
        <v>2660000.0949999997</v>
      </c>
      <c r="BM335" s="46">
        <f t="shared" si="407"/>
        <v>2660000.0949999997</v>
      </c>
      <c r="BN335" s="46">
        <f t="shared" si="407"/>
        <v>2660000.0949999997</v>
      </c>
      <c r="BO335" s="46">
        <f t="shared" si="407"/>
        <v>2660000.0949999997</v>
      </c>
    </row>
    <row r="336" spans="1:67" ht="12.75" customHeight="1" x14ac:dyDescent="0.2">
      <c r="A336" s="115">
        <v>25</v>
      </c>
      <c r="B336" s="23" t="s">
        <v>219</v>
      </c>
      <c r="D336" s="23" t="s">
        <v>1</v>
      </c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>
        <f t="shared" ref="R336:BO336" si="408">R332*1000000000/(R335*1000)</f>
        <v>3.0800132469115477E-2</v>
      </c>
      <c r="S336" s="45">
        <f t="shared" si="408"/>
        <v>3.1027651247046515E-2</v>
      </c>
      <c r="T336" s="45">
        <f t="shared" si="408"/>
        <v>3.1260857994425822E-2</v>
      </c>
      <c r="U336" s="45">
        <f t="shared" si="408"/>
        <v>3.1499894910489615E-2</v>
      </c>
      <c r="V336" s="45">
        <f t="shared" si="408"/>
        <v>3.1744907749454994E-2</v>
      </c>
      <c r="W336" s="45">
        <f t="shared" si="408"/>
        <v>3.1996045909394512E-2</v>
      </c>
      <c r="X336" s="45">
        <f t="shared" si="408"/>
        <v>3.2253462523332527E-2</v>
      </c>
      <c r="Y336" s="45">
        <f t="shared" si="408"/>
        <v>3.2517314552618991E-2</v>
      </c>
      <c r="Z336" s="45">
        <f t="shared" si="408"/>
        <v>3.2787762882637607E-2</v>
      </c>
      <c r="AA336" s="45">
        <f t="shared" si="408"/>
        <v>3.3064972420906696E-2</v>
      </c>
      <c r="AB336" s="45">
        <f t="shared" si="408"/>
        <v>3.3349112197632501E-2</v>
      </c>
      <c r="AC336" s="45">
        <f t="shared" si="408"/>
        <v>3.3640355468776466E-2</v>
      </c>
      <c r="AD336" s="45">
        <f t="shared" si="408"/>
        <v>3.3938879821699026E-2</v>
      </c>
      <c r="AE336" s="45">
        <f t="shared" si="408"/>
        <v>3.4244867283444634E-2</v>
      </c>
      <c r="AF336" s="45">
        <f t="shared" si="408"/>
        <v>3.4558504431733909E-2</v>
      </c>
      <c r="AG336" s="45">
        <f t="shared" si="408"/>
        <v>3.4879982508730402E-2</v>
      </c>
      <c r="AH336" s="45">
        <f t="shared" si="408"/>
        <v>3.5209497537651804E-2</v>
      </c>
      <c r="AI336" s="45">
        <f t="shared" si="408"/>
        <v>3.5547250442296244E-2</v>
      </c>
      <c r="AJ336" s="45">
        <f t="shared" si="408"/>
        <v>3.5893447169556794E-2</v>
      </c>
      <c r="AK336" s="45">
        <f t="shared" si="408"/>
        <v>3.6248298814998858E-2</v>
      </c>
      <c r="AL336" s="45">
        <f t="shared" si="408"/>
        <v>3.6612021751576976E-2</v>
      </c>
      <c r="AM336" s="45">
        <f t="shared" si="408"/>
        <v>3.6984837761569543E-2</v>
      </c>
      <c r="AN336" s="45">
        <f t="shared" si="408"/>
        <v>3.736697417181193E-2</v>
      </c>
      <c r="AO336" s="45">
        <f t="shared" si="408"/>
        <v>3.7758663992310378E-2</v>
      </c>
      <c r="AP336" s="45">
        <f t="shared" si="408"/>
        <v>3.8160146058321284E-2</v>
      </c>
      <c r="AQ336" s="45">
        <f t="shared" si="408"/>
        <v>3.8571665175982456E-2</v>
      </c>
      <c r="AR336" s="45">
        <f t="shared" si="408"/>
        <v>3.8993472271585165E-2</v>
      </c>
      <c r="AS336" s="45">
        <f t="shared" si="408"/>
        <v>3.9425824544577937E-2</v>
      </c>
      <c r="AT336" s="45">
        <f t="shared" si="408"/>
        <v>3.9868985624395524E-2</v>
      </c>
      <c r="AU336" s="45">
        <f t="shared" si="408"/>
        <v>4.0323225731208563E-2</v>
      </c>
      <c r="AV336" s="45">
        <f t="shared" si="408"/>
        <v>1.516346753768137</v>
      </c>
      <c r="AW336" s="45">
        <f t="shared" si="408"/>
        <v>4.1266057852912368E-2</v>
      </c>
      <c r="AX336" s="45">
        <f t="shared" si="408"/>
        <v>4.1755224765438324E-2</v>
      </c>
      <c r="AY336" s="45">
        <f t="shared" si="408"/>
        <v>4.2256620850777429E-2</v>
      </c>
      <c r="AZ336" s="45">
        <f t="shared" si="408"/>
        <v>4.2770551838250015E-2</v>
      </c>
      <c r="BA336" s="45">
        <f t="shared" si="408"/>
        <v>4.3297331100409404E-2</v>
      </c>
      <c r="BB336" s="45">
        <f t="shared" si="408"/>
        <v>4.3837279844122792E-2</v>
      </c>
      <c r="BC336" s="45">
        <f t="shared" si="408"/>
        <v>4.4390727306429005E-2</v>
      </c>
      <c r="BD336" s="45">
        <f t="shared" si="408"/>
        <v>4.4958010955292872E-2</v>
      </c>
      <c r="BE336" s="45">
        <f t="shared" si="408"/>
        <v>4.5539476695378334E-2</v>
      </c>
      <c r="BF336" s="45">
        <f t="shared" si="408"/>
        <v>4.6135479078965938E-2</v>
      </c>
      <c r="BG336" s="45">
        <f t="shared" si="408"/>
        <v>4.6746381522143228E-2</v>
      </c>
      <c r="BH336" s="45">
        <f t="shared" si="408"/>
        <v>4.7372556526399968E-2</v>
      </c>
      <c r="BI336" s="45">
        <f t="shared" si="408"/>
        <v>4.801438590576311E-2</v>
      </c>
      <c r="BJ336" s="45">
        <f t="shared" si="408"/>
        <v>4.8672261019610329E-2</v>
      </c>
      <c r="BK336" s="45">
        <f t="shared" si="408"/>
        <v>4.9346583011303735E-2</v>
      </c>
      <c r="BL336" s="45">
        <f t="shared" si="408"/>
        <v>5.0037763052789473E-2</v>
      </c>
      <c r="BM336" s="45">
        <f t="shared" si="408"/>
        <v>5.0746222595312349E-2</v>
      </c>
      <c r="BN336" s="45">
        <f t="shared" si="408"/>
        <v>5.14723936263983E-2</v>
      </c>
      <c r="BO336" s="45">
        <f t="shared" si="408"/>
        <v>5.2216718933261408E-2</v>
      </c>
    </row>
    <row r="337" spans="1:68" ht="12.75" customHeight="1" x14ac:dyDescent="0.2">
      <c r="A337" s="115">
        <v>26</v>
      </c>
      <c r="B337" s="23" t="s">
        <v>71</v>
      </c>
      <c r="D337" s="23" t="s">
        <v>1</v>
      </c>
      <c r="F337" s="32"/>
      <c r="R337" s="45">
        <f t="shared" ref="R337:AW337" si="409">$E$21*R$47*(1+$E$18)^(-3)</f>
        <v>5.9945422557487929E-2</v>
      </c>
      <c r="S337" s="45">
        <f t="shared" si="409"/>
        <v>6.144405812142513E-2</v>
      </c>
      <c r="T337" s="45">
        <f t="shared" si="409"/>
        <v>6.2980159574460751E-2</v>
      </c>
      <c r="U337" s="45">
        <f t="shared" si="409"/>
        <v>6.4554663563822251E-2</v>
      </c>
      <c r="V337" s="45">
        <f t="shared" si="409"/>
        <v>6.6168530152917807E-2</v>
      </c>
      <c r="W337" s="45">
        <f t="shared" si="409"/>
        <v>6.7822743406740743E-2</v>
      </c>
      <c r="X337" s="45">
        <f t="shared" si="409"/>
        <v>6.9518311991909262E-2</v>
      </c>
      <c r="Y337" s="45">
        <f t="shared" si="409"/>
        <v>7.1256269791706975E-2</v>
      </c>
      <c r="Z337" s="45">
        <f t="shared" si="409"/>
        <v>7.3037676536499646E-2</v>
      </c>
      <c r="AA337" s="45">
        <f t="shared" si="409"/>
        <v>7.4863618449912128E-2</v>
      </c>
      <c r="AB337" s="45">
        <f t="shared" si="409"/>
        <v>7.6735208911159924E-2</v>
      </c>
      <c r="AC337" s="45">
        <f t="shared" si="409"/>
        <v>7.8653589133938911E-2</v>
      </c>
      <c r="AD337" s="45">
        <f t="shared" si="409"/>
        <v>8.0619928862287374E-2</v>
      </c>
      <c r="AE337" s="45">
        <f t="shared" si="409"/>
        <v>8.2635427083844554E-2</v>
      </c>
      <c r="AF337" s="45">
        <f t="shared" si="409"/>
        <v>8.4701312760940672E-2</v>
      </c>
      <c r="AG337" s="45">
        <f t="shared" si="409"/>
        <v>8.681884557996418E-2</v>
      </c>
      <c r="AH337" s="45">
        <f t="shared" si="409"/>
        <v>8.8989316719463266E-2</v>
      </c>
      <c r="AI337" s="45">
        <f t="shared" si="409"/>
        <v>9.1214049637449834E-2</v>
      </c>
      <c r="AJ337" s="45">
        <f t="shared" si="409"/>
        <v>9.3494400878386077E-2</v>
      </c>
      <c r="AK337" s="45">
        <f t="shared" si="409"/>
        <v>9.583176090034573E-2</v>
      </c>
      <c r="AL337" s="45">
        <f t="shared" si="409"/>
        <v>9.8227554922854357E-2</v>
      </c>
      <c r="AM337" s="45">
        <f t="shared" si="409"/>
        <v>0.10068324379592571</v>
      </c>
      <c r="AN337" s="45">
        <f t="shared" si="409"/>
        <v>0.10320032489082384</v>
      </c>
      <c r="AO337" s="45">
        <f t="shared" si="409"/>
        <v>0.10578033301309442</v>
      </c>
      <c r="AP337" s="45">
        <f t="shared" si="409"/>
        <v>0.10842484133842177</v>
      </c>
      <c r="AQ337" s="45">
        <f t="shared" si="409"/>
        <v>0.11113546237188231</v>
      </c>
      <c r="AR337" s="45">
        <f t="shared" si="409"/>
        <v>0.11391384893117937</v>
      </c>
      <c r="AS337" s="45">
        <f t="shared" si="409"/>
        <v>0.11676169515445885</v>
      </c>
      <c r="AT337" s="45">
        <f t="shared" si="409"/>
        <v>0.11968073753332029</v>
      </c>
      <c r="AU337" s="45">
        <f t="shared" si="409"/>
        <v>0.12267275597165328</v>
      </c>
      <c r="AV337" s="45">
        <f t="shared" si="409"/>
        <v>0.12573957487094461</v>
      </c>
      <c r="AW337" s="45">
        <f t="shared" si="409"/>
        <v>0.12888306424271823</v>
      </c>
      <c r="AX337" s="45">
        <f t="shared" ref="AX337:BO337" si="410">$E$21*AX$47*(1+$E$18)^(-3)</f>
        <v>0.13210514084878616</v>
      </c>
      <c r="AY337" s="45">
        <f t="shared" si="410"/>
        <v>0.13540776937000584</v>
      </c>
      <c r="AZ337" s="45">
        <f t="shared" si="410"/>
        <v>0.13879296360425597</v>
      </c>
      <c r="BA337" s="45">
        <f t="shared" si="410"/>
        <v>0.14226278769436235</v>
      </c>
      <c r="BB337" s="45">
        <f t="shared" si="410"/>
        <v>0.14581935738672142</v>
      </c>
      <c r="BC337" s="45">
        <f t="shared" si="410"/>
        <v>0.14946484132138943</v>
      </c>
      <c r="BD337" s="45">
        <f t="shared" si="410"/>
        <v>0.15320146235442417</v>
      </c>
      <c r="BE337" s="45">
        <f t="shared" si="410"/>
        <v>0.15703149891328474</v>
      </c>
      <c r="BF337" s="45">
        <f t="shared" si="410"/>
        <v>0.16095728638611687</v>
      </c>
      <c r="BG337" s="45">
        <f t="shared" si="410"/>
        <v>0.16498121854576975</v>
      </c>
      <c r="BH337" s="45">
        <f t="shared" si="410"/>
        <v>0.169105749009414</v>
      </c>
      <c r="BI337" s="45">
        <f t="shared" si="410"/>
        <v>0.17333339273464934</v>
      </c>
      <c r="BJ337" s="45">
        <f t="shared" si="410"/>
        <v>0.17766672755301555</v>
      </c>
      <c r="BK337" s="45">
        <f t="shared" si="410"/>
        <v>0.18210839574184096</v>
      </c>
      <c r="BL337" s="45">
        <f t="shared" si="410"/>
        <v>0.18666110563538696</v>
      </c>
      <c r="BM337" s="45">
        <f t="shared" si="410"/>
        <v>0.19132763327627159</v>
      </c>
      <c r="BN337" s="45">
        <f t="shared" si="410"/>
        <v>0.1961108241081784</v>
      </c>
      <c r="BO337" s="45">
        <f t="shared" si="410"/>
        <v>0.20101359471088284</v>
      </c>
    </row>
    <row r="338" spans="1:68" ht="12.75" customHeight="1" x14ac:dyDescent="0.2">
      <c r="A338" s="115">
        <v>27</v>
      </c>
      <c r="B338" s="23" t="s">
        <v>220</v>
      </c>
      <c r="D338" s="23" t="s">
        <v>1</v>
      </c>
      <c r="F338" s="32"/>
      <c r="R338" s="45">
        <f>R336+R337</f>
        <v>9.0745555026603406E-2</v>
      </c>
      <c r="S338" s="45">
        <f>S336+S337</f>
        <v>9.2471709368471641E-2</v>
      </c>
      <c r="T338" s="45">
        <f t="shared" ref="T338:BO338" si="411">T336+T337</f>
        <v>9.4241017568886573E-2</v>
      </c>
      <c r="U338" s="45">
        <f t="shared" si="411"/>
        <v>9.6054558474311866E-2</v>
      </c>
      <c r="V338" s="45">
        <f t="shared" si="411"/>
        <v>9.7913437902372807E-2</v>
      </c>
      <c r="W338" s="45">
        <f t="shared" si="411"/>
        <v>9.9818789316135248E-2</v>
      </c>
      <c r="X338" s="45">
        <f t="shared" si="411"/>
        <v>0.10177177451524179</v>
      </c>
      <c r="Y338" s="45">
        <f t="shared" si="411"/>
        <v>0.10377358434432596</v>
      </c>
      <c r="Z338" s="45">
        <f t="shared" si="411"/>
        <v>0.10582543941913725</v>
      </c>
      <c r="AA338" s="45">
        <f t="shared" si="411"/>
        <v>0.10792859087081882</v>
      </c>
      <c r="AB338" s="45">
        <f t="shared" si="411"/>
        <v>0.11008432110879243</v>
      </c>
      <c r="AC338" s="45">
        <f t="shared" si="411"/>
        <v>0.11229394460271538</v>
      </c>
      <c r="AD338" s="45">
        <f t="shared" si="411"/>
        <v>0.11455880868398641</v>
      </c>
      <c r="AE338" s="45">
        <f t="shared" si="411"/>
        <v>0.11688029436728919</v>
      </c>
      <c r="AF338" s="45">
        <f t="shared" si="411"/>
        <v>0.11925981719267459</v>
      </c>
      <c r="AG338" s="45">
        <f t="shared" si="411"/>
        <v>0.12169882808869459</v>
      </c>
      <c r="AH338" s="45">
        <f t="shared" si="411"/>
        <v>0.12419881425711507</v>
      </c>
      <c r="AI338" s="45">
        <f t="shared" si="411"/>
        <v>0.12676130007974606</v>
      </c>
      <c r="AJ338" s="45">
        <f t="shared" si="411"/>
        <v>0.12938784804794287</v>
      </c>
      <c r="AK338" s="45">
        <f t="shared" si="411"/>
        <v>0.13208005971534459</v>
      </c>
      <c r="AL338" s="45">
        <f t="shared" si="411"/>
        <v>0.13483957667443133</v>
      </c>
      <c r="AM338" s="45">
        <f t="shared" si="411"/>
        <v>0.13766808155749524</v>
      </c>
      <c r="AN338" s="45">
        <f t="shared" si="411"/>
        <v>0.14056729906263576</v>
      </c>
      <c r="AO338" s="45">
        <f t="shared" si="411"/>
        <v>0.14353899700540479</v>
      </c>
      <c r="AP338" s="45">
        <f t="shared" si="411"/>
        <v>0.14658498739674305</v>
      </c>
      <c r="AQ338" s="45">
        <f t="shared" si="411"/>
        <v>0.14970712754786475</v>
      </c>
      <c r="AR338" s="45">
        <f t="shared" si="411"/>
        <v>0.15290732120276454</v>
      </c>
      <c r="AS338" s="45">
        <f t="shared" si="411"/>
        <v>0.15618751969903677</v>
      </c>
      <c r="AT338" s="45">
        <f t="shared" si="411"/>
        <v>0.15954972315771582</v>
      </c>
      <c r="AU338" s="45">
        <f t="shared" si="411"/>
        <v>0.16299598170286184</v>
      </c>
      <c r="AV338" s="45">
        <f t="shared" si="411"/>
        <v>1.6420863286390817</v>
      </c>
      <c r="AW338" s="45">
        <f t="shared" si="411"/>
        <v>0.1701491220956306</v>
      </c>
      <c r="AX338" s="45">
        <f t="shared" si="411"/>
        <v>0.17386036561422449</v>
      </c>
      <c r="AY338" s="45">
        <f t="shared" si="411"/>
        <v>0.17766439022078329</v>
      </c>
      <c r="AZ338" s="45">
        <f t="shared" si="411"/>
        <v>0.18156351544250598</v>
      </c>
      <c r="BA338" s="45">
        <f t="shared" si="411"/>
        <v>0.18556011879477174</v>
      </c>
      <c r="BB338" s="45">
        <f t="shared" si="411"/>
        <v>0.18965663723084419</v>
      </c>
      <c r="BC338" s="45">
        <f t="shared" si="411"/>
        <v>0.19385556862781844</v>
      </c>
      <c r="BD338" s="45">
        <f t="shared" si="411"/>
        <v>0.19815947330971703</v>
      </c>
      <c r="BE338" s="45">
        <f t="shared" si="411"/>
        <v>0.20257097560866308</v>
      </c>
      <c r="BF338" s="45">
        <f t="shared" si="411"/>
        <v>0.20709276546508282</v>
      </c>
      <c r="BG338" s="45">
        <f t="shared" si="411"/>
        <v>0.21172760006791297</v>
      </c>
      <c r="BH338" s="45">
        <f t="shared" si="411"/>
        <v>0.21647830553581396</v>
      </c>
      <c r="BI338" s="45">
        <f t="shared" si="411"/>
        <v>0.22134777864041244</v>
      </c>
      <c r="BJ338" s="45">
        <f t="shared" si="411"/>
        <v>0.22633898857262588</v>
      </c>
      <c r="BK338" s="45">
        <f t="shared" si="411"/>
        <v>0.23145497875314469</v>
      </c>
      <c r="BL338" s="45">
        <f t="shared" si="411"/>
        <v>0.23669886868817644</v>
      </c>
      <c r="BM338" s="45">
        <f t="shared" si="411"/>
        <v>0.24207385587158392</v>
      </c>
      <c r="BN338" s="45">
        <f t="shared" si="411"/>
        <v>0.2475832177345767</v>
      </c>
      <c r="BO338" s="45">
        <f t="shared" si="411"/>
        <v>0.25323031364414428</v>
      </c>
    </row>
    <row r="339" spans="1:68" ht="12.75" customHeight="1" x14ac:dyDescent="0.2">
      <c r="F339" s="32"/>
    </row>
    <row r="340" spans="1:68" ht="12.75" customHeight="1" x14ac:dyDescent="0.2">
      <c r="B340" s="17" t="s">
        <v>37</v>
      </c>
      <c r="F340" s="32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</row>
    <row r="341" spans="1:68" ht="12.75" customHeight="1" x14ac:dyDescent="0.2">
      <c r="A341" s="115"/>
      <c r="B341" s="16"/>
      <c r="C341" s="23" t="s">
        <v>28</v>
      </c>
      <c r="D341" s="23" t="s">
        <v>26</v>
      </c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69">
        <f>Q235</f>
        <v>0</v>
      </c>
      <c r="S341" s="69">
        <f t="shared" ref="S341" si="412">R345</f>
        <v>0</v>
      </c>
      <c r="T341" s="69">
        <f t="shared" ref="T341" si="413">S345</f>
        <v>0</v>
      </c>
      <c r="U341" s="69">
        <f t="shared" ref="U341" si="414">T345</f>
        <v>0</v>
      </c>
      <c r="V341" s="69">
        <f t="shared" ref="V341" si="415">U345</f>
        <v>0</v>
      </c>
      <c r="W341" s="69">
        <f t="shared" ref="W341" si="416">V345</f>
        <v>0</v>
      </c>
      <c r="X341" s="69">
        <f t="shared" ref="X341" si="417">W345</f>
        <v>0</v>
      </c>
      <c r="Y341" s="69">
        <f t="shared" ref="Y341" si="418">X345</f>
        <v>0</v>
      </c>
      <c r="Z341" s="69">
        <f t="shared" ref="Z341" si="419">Y345</f>
        <v>0</v>
      </c>
      <c r="AA341" s="69">
        <f t="shared" ref="AA341" si="420">Z345</f>
        <v>0</v>
      </c>
      <c r="AB341" s="69">
        <f t="shared" ref="AB341" si="421">AA345</f>
        <v>0</v>
      </c>
      <c r="AC341" s="69">
        <f t="shared" ref="AC341" si="422">AB345</f>
        <v>0</v>
      </c>
      <c r="AD341" s="69">
        <f t="shared" ref="AD341" si="423">AC345</f>
        <v>0</v>
      </c>
      <c r="AE341" s="69">
        <f t="shared" ref="AE341" si="424">AD345</f>
        <v>0</v>
      </c>
      <c r="AF341" s="69">
        <f t="shared" ref="AF341" si="425">AE345</f>
        <v>0</v>
      </c>
      <c r="AG341" s="69">
        <f t="shared" ref="AG341" si="426">AF345</f>
        <v>0</v>
      </c>
      <c r="AH341" s="69">
        <f t="shared" ref="AH341" si="427">AG345</f>
        <v>0</v>
      </c>
      <c r="AI341" s="69">
        <f t="shared" ref="AI341" si="428">AH345</f>
        <v>0</v>
      </c>
      <c r="AJ341" s="69">
        <f t="shared" ref="AJ341" si="429">AI345</f>
        <v>0</v>
      </c>
      <c r="AK341" s="69">
        <f t="shared" ref="AK341" si="430">AJ345</f>
        <v>0</v>
      </c>
      <c r="AL341" s="69">
        <f t="shared" ref="AL341" si="431">AK345</f>
        <v>0</v>
      </c>
      <c r="AM341" s="69">
        <f t="shared" ref="AM341" si="432">AL345</f>
        <v>0</v>
      </c>
      <c r="AN341" s="69">
        <f t="shared" ref="AN341" si="433">AM345</f>
        <v>0</v>
      </c>
      <c r="AO341" s="69">
        <f t="shared" ref="AO341" si="434">AN345</f>
        <v>0</v>
      </c>
      <c r="AP341" s="69">
        <f t="shared" ref="AP341" si="435">AO345</f>
        <v>0</v>
      </c>
      <c r="AQ341" s="69">
        <f t="shared" ref="AQ341" si="436">AP345</f>
        <v>0</v>
      </c>
      <c r="AR341" s="69">
        <f t="shared" ref="AR341" si="437">AQ345</f>
        <v>0</v>
      </c>
      <c r="AS341" s="69">
        <f t="shared" ref="AS341" si="438">AR345</f>
        <v>0</v>
      </c>
      <c r="AT341" s="69">
        <f t="shared" ref="AT341" si="439">AS345</f>
        <v>0</v>
      </c>
      <c r="AU341" s="69">
        <f t="shared" ref="AU341" si="440">AT345</f>
        <v>0</v>
      </c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</row>
    <row r="342" spans="1:68" ht="12.75" customHeight="1" x14ac:dyDescent="0.2">
      <c r="A342" s="115"/>
      <c r="B342" s="16"/>
      <c r="C342" s="23" t="s">
        <v>38</v>
      </c>
      <c r="D342" s="23" t="s">
        <v>26</v>
      </c>
      <c r="F342" s="47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70">
        <f>-PMT($E$12,$E$13,R341)</f>
        <v>0</v>
      </c>
      <c r="S342" s="70">
        <f>R342</f>
        <v>0</v>
      </c>
      <c r="T342" s="70">
        <f t="shared" ref="T342" si="441">S342</f>
        <v>0</v>
      </c>
      <c r="U342" s="70">
        <f t="shared" ref="U342" si="442">T342</f>
        <v>0</v>
      </c>
      <c r="V342" s="70">
        <f t="shared" ref="V342" si="443">U342</f>
        <v>0</v>
      </c>
      <c r="W342" s="70">
        <f t="shared" ref="W342" si="444">V342</f>
        <v>0</v>
      </c>
      <c r="X342" s="70">
        <f t="shared" ref="X342" si="445">W342</f>
        <v>0</v>
      </c>
      <c r="Y342" s="70">
        <f t="shared" ref="Y342" si="446">X342</f>
        <v>0</v>
      </c>
      <c r="Z342" s="70">
        <f t="shared" ref="Z342" si="447">Y342</f>
        <v>0</v>
      </c>
      <c r="AA342" s="70">
        <f t="shared" ref="AA342" si="448">Z342</f>
        <v>0</v>
      </c>
      <c r="AB342" s="70">
        <f t="shared" ref="AB342" si="449">AA342</f>
        <v>0</v>
      </c>
      <c r="AC342" s="70">
        <f t="shared" ref="AC342" si="450">AB342</f>
        <v>0</v>
      </c>
      <c r="AD342" s="70">
        <f t="shared" ref="AD342" si="451">AC342</f>
        <v>0</v>
      </c>
      <c r="AE342" s="70">
        <f t="shared" ref="AE342" si="452">AD342</f>
        <v>0</v>
      </c>
      <c r="AF342" s="70">
        <f t="shared" ref="AF342" si="453">AE342</f>
        <v>0</v>
      </c>
      <c r="AG342" s="70">
        <f t="shared" ref="AG342" si="454">AF342</f>
        <v>0</v>
      </c>
      <c r="AH342" s="70">
        <f t="shared" ref="AH342" si="455">AG342</f>
        <v>0</v>
      </c>
      <c r="AI342" s="70">
        <f t="shared" ref="AI342" si="456">AH342</f>
        <v>0</v>
      </c>
      <c r="AJ342" s="70">
        <f t="shared" ref="AJ342" si="457">AI342</f>
        <v>0</v>
      </c>
      <c r="AK342" s="70">
        <f t="shared" ref="AK342" si="458">AJ342</f>
        <v>0</v>
      </c>
      <c r="AL342" s="70">
        <f t="shared" ref="AL342" si="459">AK342</f>
        <v>0</v>
      </c>
      <c r="AM342" s="70">
        <f t="shared" ref="AM342" si="460">AL342</f>
        <v>0</v>
      </c>
      <c r="AN342" s="70">
        <f t="shared" ref="AN342" si="461">AM342</f>
        <v>0</v>
      </c>
      <c r="AO342" s="70">
        <f t="shared" ref="AO342" si="462">AN342</f>
        <v>0</v>
      </c>
      <c r="AP342" s="70">
        <f t="shared" ref="AP342" si="463">AO342</f>
        <v>0</v>
      </c>
      <c r="AQ342" s="70">
        <f t="shared" ref="AQ342" si="464">AP342</f>
        <v>0</v>
      </c>
      <c r="AR342" s="70">
        <f t="shared" ref="AR342" si="465">AQ342</f>
        <v>0</v>
      </c>
      <c r="AS342" s="70">
        <f t="shared" ref="AS342" si="466">AR342</f>
        <v>0</v>
      </c>
      <c r="AT342" s="70">
        <f t="shared" ref="AT342" si="467">AS342</f>
        <v>0</v>
      </c>
      <c r="AU342" s="70">
        <f t="shared" ref="AU342" si="468">AT342</f>
        <v>0</v>
      </c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</row>
    <row r="343" spans="1:68" ht="12.75" customHeight="1" x14ac:dyDescent="0.2">
      <c r="A343" s="115"/>
      <c r="B343" s="16"/>
      <c r="C343" s="38" t="s">
        <v>15</v>
      </c>
      <c r="D343" s="23" t="s">
        <v>26</v>
      </c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69">
        <f t="shared" ref="R343:AU343" si="469">R341*$E$12</f>
        <v>0</v>
      </c>
      <c r="S343" s="69">
        <f t="shared" si="469"/>
        <v>0</v>
      </c>
      <c r="T343" s="69">
        <f t="shared" si="469"/>
        <v>0</v>
      </c>
      <c r="U343" s="69">
        <f t="shared" si="469"/>
        <v>0</v>
      </c>
      <c r="V343" s="69">
        <f t="shared" si="469"/>
        <v>0</v>
      </c>
      <c r="W343" s="69">
        <f t="shared" si="469"/>
        <v>0</v>
      </c>
      <c r="X343" s="69">
        <f t="shared" si="469"/>
        <v>0</v>
      </c>
      <c r="Y343" s="69">
        <f t="shared" si="469"/>
        <v>0</v>
      </c>
      <c r="Z343" s="69">
        <f t="shared" si="469"/>
        <v>0</v>
      </c>
      <c r="AA343" s="69">
        <f t="shared" si="469"/>
        <v>0</v>
      </c>
      <c r="AB343" s="69">
        <f t="shared" si="469"/>
        <v>0</v>
      </c>
      <c r="AC343" s="69">
        <f t="shared" si="469"/>
        <v>0</v>
      </c>
      <c r="AD343" s="69">
        <f t="shared" si="469"/>
        <v>0</v>
      </c>
      <c r="AE343" s="69">
        <f t="shared" si="469"/>
        <v>0</v>
      </c>
      <c r="AF343" s="69">
        <f t="shared" si="469"/>
        <v>0</v>
      </c>
      <c r="AG343" s="69">
        <f t="shared" si="469"/>
        <v>0</v>
      </c>
      <c r="AH343" s="69">
        <f t="shared" si="469"/>
        <v>0</v>
      </c>
      <c r="AI343" s="69">
        <f t="shared" si="469"/>
        <v>0</v>
      </c>
      <c r="AJ343" s="69">
        <f t="shared" si="469"/>
        <v>0</v>
      </c>
      <c r="AK343" s="69">
        <f t="shared" si="469"/>
        <v>0</v>
      </c>
      <c r="AL343" s="69">
        <f t="shared" si="469"/>
        <v>0</v>
      </c>
      <c r="AM343" s="69">
        <f t="shared" si="469"/>
        <v>0</v>
      </c>
      <c r="AN343" s="69">
        <f t="shared" si="469"/>
        <v>0</v>
      </c>
      <c r="AO343" s="69">
        <f t="shared" si="469"/>
        <v>0</v>
      </c>
      <c r="AP343" s="69">
        <f t="shared" si="469"/>
        <v>0</v>
      </c>
      <c r="AQ343" s="69">
        <f t="shared" si="469"/>
        <v>0</v>
      </c>
      <c r="AR343" s="69">
        <f t="shared" si="469"/>
        <v>0</v>
      </c>
      <c r="AS343" s="69">
        <f t="shared" si="469"/>
        <v>0</v>
      </c>
      <c r="AT343" s="69">
        <f t="shared" si="469"/>
        <v>0</v>
      </c>
      <c r="AU343" s="69">
        <f t="shared" si="469"/>
        <v>0</v>
      </c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</row>
    <row r="344" spans="1:68" ht="12.75" customHeight="1" x14ac:dyDescent="0.2">
      <c r="A344" s="115"/>
      <c r="C344" s="38" t="s">
        <v>228</v>
      </c>
      <c r="D344" s="23" t="s">
        <v>26</v>
      </c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69">
        <f t="shared" ref="R344:AU344" si="470">R342-R343</f>
        <v>0</v>
      </c>
      <c r="S344" s="69">
        <f t="shared" si="470"/>
        <v>0</v>
      </c>
      <c r="T344" s="69">
        <f t="shared" si="470"/>
        <v>0</v>
      </c>
      <c r="U344" s="69">
        <f t="shared" si="470"/>
        <v>0</v>
      </c>
      <c r="V344" s="69">
        <f t="shared" si="470"/>
        <v>0</v>
      </c>
      <c r="W344" s="69">
        <f t="shared" si="470"/>
        <v>0</v>
      </c>
      <c r="X344" s="69">
        <f t="shared" si="470"/>
        <v>0</v>
      </c>
      <c r="Y344" s="69">
        <f t="shared" si="470"/>
        <v>0</v>
      </c>
      <c r="Z344" s="69">
        <f t="shared" si="470"/>
        <v>0</v>
      </c>
      <c r="AA344" s="69">
        <f t="shared" si="470"/>
        <v>0</v>
      </c>
      <c r="AB344" s="69">
        <f t="shared" si="470"/>
        <v>0</v>
      </c>
      <c r="AC344" s="69">
        <f t="shared" si="470"/>
        <v>0</v>
      </c>
      <c r="AD344" s="69">
        <f t="shared" si="470"/>
        <v>0</v>
      </c>
      <c r="AE344" s="69">
        <f t="shared" si="470"/>
        <v>0</v>
      </c>
      <c r="AF344" s="69">
        <f t="shared" si="470"/>
        <v>0</v>
      </c>
      <c r="AG344" s="69">
        <f t="shared" si="470"/>
        <v>0</v>
      </c>
      <c r="AH344" s="69">
        <f t="shared" si="470"/>
        <v>0</v>
      </c>
      <c r="AI344" s="69">
        <f t="shared" si="470"/>
        <v>0</v>
      </c>
      <c r="AJ344" s="69">
        <f t="shared" si="470"/>
        <v>0</v>
      </c>
      <c r="AK344" s="69">
        <f t="shared" si="470"/>
        <v>0</v>
      </c>
      <c r="AL344" s="69">
        <f t="shared" si="470"/>
        <v>0</v>
      </c>
      <c r="AM344" s="69">
        <f t="shared" si="470"/>
        <v>0</v>
      </c>
      <c r="AN344" s="69">
        <f t="shared" si="470"/>
        <v>0</v>
      </c>
      <c r="AO344" s="69">
        <f t="shared" si="470"/>
        <v>0</v>
      </c>
      <c r="AP344" s="69">
        <f t="shared" si="470"/>
        <v>0</v>
      </c>
      <c r="AQ344" s="69">
        <f t="shared" si="470"/>
        <v>0</v>
      </c>
      <c r="AR344" s="69">
        <f t="shared" si="470"/>
        <v>0</v>
      </c>
      <c r="AS344" s="69">
        <f t="shared" si="470"/>
        <v>0</v>
      </c>
      <c r="AT344" s="69">
        <f t="shared" si="470"/>
        <v>0</v>
      </c>
      <c r="AU344" s="69">
        <f t="shared" si="470"/>
        <v>0</v>
      </c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</row>
    <row r="345" spans="1:68" ht="12.75" customHeight="1" x14ac:dyDescent="0.2">
      <c r="A345" s="115"/>
      <c r="C345" s="23" t="s">
        <v>29</v>
      </c>
      <c r="D345" s="23" t="s">
        <v>26</v>
      </c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69">
        <f t="shared" ref="R345:AU345" si="471">R341-R344</f>
        <v>0</v>
      </c>
      <c r="S345" s="69">
        <f t="shared" si="471"/>
        <v>0</v>
      </c>
      <c r="T345" s="69">
        <f t="shared" si="471"/>
        <v>0</v>
      </c>
      <c r="U345" s="69">
        <f t="shared" si="471"/>
        <v>0</v>
      </c>
      <c r="V345" s="69">
        <f t="shared" si="471"/>
        <v>0</v>
      </c>
      <c r="W345" s="69">
        <f t="shared" si="471"/>
        <v>0</v>
      </c>
      <c r="X345" s="69">
        <f t="shared" si="471"/>
        <v>0</v>
      </c>
      <c r="Y345" s="69">
        <f t="shared" si="471"/>
        <v>0</v>
      </c>
      <c r="Z345" s="69">
        <f t="shared" si="471"/>
        <v>0</v>
      </c>
      <c r="AA345" s="69">
        <f t="shared" si="471"/>
        <v>0</v>
      </c>
      <c r="AB345" s="69">
        <f t="shared" si="471"/>
        <v>0</v>
      </c>
      <c r="AC345" s="69">
        <f t="shared" si="471"/>
        <v>0</v>
      </c>
      <c r="AD345" s="69">
        <f t="shared" si="471"/>
        <v>0</v>
      </c>
      <c r="AE345" s="69">
        <f t="shared" si="471"/>
        <v>0</v>
      </c>
      <c r="AF345" s="69">
        <f t="shared" si="471"/>
        <v>0</v>
      </c>
      <c r="AG345" s="69">
        <f t="shared" si="471"/>
        <v>0</v>
      </c>
      <c r="AH345" s="69">
        <f t="shared" si="471"/>
        <v>0</v>
      </c>
      <c r="AI345" s="69">
        <f t="shared" si="471"/>
        <v>0</v>
      </c>
      <c r="AJ345" s="69">
        <f t="shared" si="471"/>
        <v>0</v>
      </c>
      <c r="AK345" s="69">
        <f t="shared" si="471"/>
        <v>0</v>
      </c>
      <c r="AL345" s="69">
        <f t="shared" si="471"/>
        <v>0</v>
      </c>
      <c r="AM345" s="69">
        <f t="shared" si="471"/>
        <v>0</v>
      </c>
      <c r="AN345" s="69">
        <f t="shared" si="471"/>
        <v>0</v>
      </c>
      <c r="AO345" s="69">
        <f t="shared" si="471"/>
        <v>0</v>
      </c>
      <c r="AP345" s="69">
        <f t="shared" si="471"/>
        <v>0</v>
      </c>
      <c r="AQ345" s="69">
        <f t="shared" si="471"/>
        <v>0</v>
      </c>
      <c r="AR345" s="69">
        <f t="shared" si="471"/>
        <v>0</v>
      </c>
      <c r="AS345" s="69">
        <f t="shared" si="471"/>
        <v>0</v>
      </c>
      <c r="AT345" s="69">
        <f t="shared" si="471"/>
        <v>0</v>
      </c>
      <c r="AU345" s="69">
        <f t="shared" si="471"/>
        <v>0</v>
      </c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</row>
    <row r="346" spans="1:68" ht="12.75" customHeight="1" x14ac:dyDescent="0.2">
      <c r="A346" s="11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</row>
    <row r="347" spans="1:68" ht="12.75" customHeight="1" x14ac:dyDescent="0.2">
      <c r="B347" s="28" t="s">
        <v>233</v>
      </c>
      <c r="C347" s="27"/>
      <c r="D347" s="27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</row>
    <row r="348" spans="1:68" ht="12.75" customHeight="1" x14ac:dyDescent="0.2">
      <c r="C348" s="27" t="s">
        <v>234</v>
      </c>
      <c r="D348" s="23" t="s">
        <v>26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58">
        <f>Q303</f>
        <v>0</v>
      </c>
      <c r="S348" s="58">
        <f>R350</f>
        <v>0</v>
      </c>
      <c r="T348" s="58">
        <f t="shared" ref="T348" si="472">S350</f>
        <v>0</v>
      </c>
      <c r="U348" s="58">
        <f t="shared" ref="U348" si="473">T350</f>
        <v>0</v>
      </c>
      <c r="V348" s="58">
        <f t="shared" ref="V348" si="474">U350</f>
        <v>0</v>
      </c>
      <c r="W348" s="58">
        <f t="shared" ref="W348" si="475">V350</f>
        <v>0</v>
      </c>
      <c r="X348" s="58">
        <f t="shared" ref="X348" si="476">W350</f>
        <v>0</v>
      </c>
      <c r="Y348" s="58">
        <f t="shared" ref="Y348" si="477">X350</f>
        <v>0</v>
      </c>
      <c r="Z348" s="58">
        <f t="shared" ref="Z348" si="478">Y350</f>
        <v>0</v>
      </c>
      <c r="AA348" s="58">
        <f t="shared" ref="AA348" si="479">Z350</f>
        <v>0</v>
      </c>
      <c r="AB348" s="58">
        <f t="shared" ref="AB348" si="480">AA350</f>
        <v>0</v>
      </c>
      <c r="AC348" s="58">
        <f t="shared" ref="AC348" si="481">AB350</f>
        <v>0</v>
      </c>
      <c r="AD348" s="58">
        <f t="shared" ref="AD348" si="482">AC350</f>
        <v>0</v>
      </c>
      <c r="AE348" s="58">
        <f t="shared" ref="AE348" si="483">AD350</f>
        <v>0</v>
      </c>
      <c r="AF348" s="58">
        <f t="shared" ref="AF348" si="484">AE350</f>
        <v>0</v>
      </c>
      <c r="AG348" s="58">
        <f t="shared" ref="AG348" si="485">AF350</f>
        <v>0</v>
      </c>
      <c r="AH348" s="58">
        <f t="shared" ref="AH348" si="486">AG350</f>
        <v>0</v>
      </c>
      <c r="AI348" s="58">
        <f t="shared" ref="AI348" si="487">AH350</f>
        <v>0</v>
      </c>
      <c r="AJ348" s="58">
        <f t="shared" ref="AJ348" si="488">AI350</f>
        <v>0</v>
      </c>
      <c r="AK348" s="58">
        <f t="shared" ref="AK348" si="489">AJ350</f>
        <v>0</v>
      </c>
      <c r="AL348" s="58">
        <f t="shared" ref="AL348" si="490">AK350</f>
        <v>0</v>
      </c>
      <c r="AM348" s="58">
        <f t="shared" ref="AM348" si="491">AL350</f>
        <v>0</v>
      </c>
      <c r="AN348" s="58">
        <f t="shared" ref="AN348" si="492">AM350</f>
        <v>0</v>
      </c>
      <c r="AO348" s="58">
        <f t="shared" ref="AO348" si="493">AN350</f>
        <v>0</v>
      </c>
      <c r="AP348" s="58">
        <f t="shared" ref="AP348" si="494">AO350</f>
        <v>0</v>
      </c>
      <c r="AQ348" s="58">
        <f t="shared" ref="AQ348" si="495">AP350</f>
        <v>0</v>
      </c>
      <c r="AR348" s="58">
        <f t="shared" ref="AR348" si="496">AQ350</f>
        <v>0</v>
      </c>
      <c r="AS348" s="58">
        <f t="shared" ref="AS348" si="497">AR350</f>
        <v>0</v>
      </c>
      <c r="AT348" s="58">
        <f t="shared" ref="AT348" si="498">AS350</f>
        <v>0</v>
      </c>
      <c r="AU348" s="58">
        <f t="shared" ref="AU348" si="499">AT350</f>
        <v>0</v>
      </c>
      <c r="AV348" s="58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</row>
    <row r="349" spans="1:68" ht="12.75" customHeight="1" x14ac:dyDescent="0.2">
      <c r="C349" s="27" t="s">
        <v>235</v>
      </c>
      <c r="D349" s="23" t="s">
        <v>26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58">
        <f>0</f>
        <v>0</v>
      </c>
      <c r="S349" s="58">
        <f>0</f>
        <v>0</v>
      </c>
      <c r="T349" s="58">
        <f>0</f>
        <v>0</v>
      </c>
      <c r="U349" s="58">
        <f>0</f>
        <v>0</v>
      </c>
      <c r="V349" s="58">
        <f>0</f>
        <v>0</v>
      </c>
      <c r="W349" s="58">
        <f>0</f>
        <v>0</v>
      </c>
      <c r="X349" s="58">
        <f>0</f>
        <v>0</v>
      </c>
      <c r="Y349" s="58">
        <f>0</f>
        <v>0</v>
      </c>
      <c r="Z349" s="58">
        <f>0</f>
        <v>0</v>
      </c>
      <c r="AA349" s="58">
        <f>0</f>
        <v>0</v>
      </c>
      <c r="AB349" s="58">
        <f>0</f>
        <v>0</v>
      </c>
      <c r="AC349" s="58">
        <f>0</f>
        <v>0</v>
      </c>
      <c r="AD349" s="58">
        <f>0</f>
        <v>0</v>
      </c>
      <c r="AE349" s="58">
        <f>0</f>
        <v>0</v>
      </c>
      <c r="AF349" s="58">
        <f>0</f>
        <v>0</v>
      </c>
      <c r="AG349" s="58">
        <f>0</f>
        <v>0</v>
      </c>
      <c r="AH349" s="58">
        <f>0</f>
        <v>0</v>
      </c>
      <c r="AI349" s="58">
        <f>0</f>
        <v>0</v>
      </c>
      <c r="AJ349" s="58">
        <f>0</f>
        <v>0</v>
      </c>
      <c r="AK349" s="58">
        <f>0</f>
        <v>0</v>
      </c>
      <c r="AL349" s="58">
        <f>0</f>
        <v>0</v>
      </c>
      <c r="AM349" s="58">
        <f>0</f>
        <v>0</v>
      </c>
      <c r="AN349" s="58">
        <f>0</f>
        <v>0</v>
      </c>
      <c r="AO349" s="58">
        <f>0</f>
        <v>0</v>
      </c>
      <c r="AP349" s="58">
        <f>0</f>
        <v>0</v>
      </c>
      <c r="AQ349" s="58">
        <f>0</f>
        <v>0</v>
      </c>
      <c r="AR349" s="58">
        <f>0</f>
        <v>0</v>
      </c>
      <c r="AS349" s="58">
        <f>0</f>
        <v>0</v>
      </c>
      <c r="AT349" s="58">
        <f>0</f>
        <v>0</v>
      </c>
      <c r="AU349" s="129">
        <f>AU348</f>
        <v>0</v>
      </c>
      <c r="AV349" s="58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</row>
    <row r="350" spans="1:68" ht="12.75" customHeight="1" x14ac:dyDescent="0.2">
      <c r="C350" s="27" t="s">
        <v>236</v>
      </c>
      <c r="D350" s="23" t="s">
        <v>26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58">
        <f>R348-R349</f>
        <v>0</v>
      </c>
      <c r="S350" s="58">
        <f>S348-S349</f>
        <v>0</v>
      </c>
      <c r="T350" s="58">
        <f t="shared" ref="T350:AU350" si="500">T348-T349</f>
        <v>0</v>
      </c>
      <c r="U350" s="58">
        <f t="shared" si="500"/>
        <v>0</v>
      </c>
      <c r="V350" s="58">
        <f t="shared" si="500"/>
        <v>0</v>
      </c>
      <c r="W350" s="58">
        <f t="shared" si="500"/>
        <v>0</v>
      </c>
      <c r="X350" s="58">
        <f t="shared" si="500"/>
        <v>0</v>
      </c>
      <c r="Y350" s="58">
        <f t="shared" si="500"/>
        <v>0</v>
      </c>
      <c r="Z350" s="58">
        <f t="shared" si="500"/>
        <v>0</v>
      </c>
      <c r="AA350" s="58">
        <f t="shared" si="500"/>
        <v>0</v>
      </c>
      <c r="AB350" s="58">
        <f t="shared" si="500"/>
        <v>0</v>
      </c>
      <c r="AC350" s="58">
        <f t="shared" si="500"/>
        <v>0</v>
      </c>
      <c r="AD350" s="58">
        <f t="shared" si="500"/>
        <v>0</v>
      </c>
      <c r="AE350" s="58">
        <f t="shared" si="500"/>
        <v>0</v>
      </c>
      <c r="AF350" s="58">
        <f t="shared" si="500"/>
        <v>0</v>
      </c>
      <c r="AG350" s="58">
        <f t="shared" si="500"/>
        <v>0</v>
      </c>
      <c r="AH350" s="58">
        <f t="shared" si="500"/>
        <v>0</v>
      </c>
      <c r="AI350" s="58">
        <f t="shared" si="500"/>
        <v>0</v>
      </c>
      <c r="AJ350" s="58">
        <f t="shared" si="500"/>
        <v>0</v>
      </c>
      <c r="AK350" s="58">
        <f t="shared" si="500"/>
        <v>0</v>
      </c>
      <c r="AL350" s="58">
        <f t="shared" si="500"/>
        <v>0</v>
      </c>
      <c r="AM350" s="58">
        <f t="shared" si="500"/>
        <v>0</v>
      </c>
      <c r="AN350" s="58">
        <f t="shared" si="500"/>
        <v>0</v>
      </c>
      <c r="AO350" s="58">
        <f t="shared" si="500"/>
        <v>0</v>
      </c>
      <c r="AP350" s="58">
        <f t="shared" si="500"/>
        <v>0</v>
      </c>
      <c r="AQ350" s="58">
        <f t="shared" si="500"/>
        <v>0</v>
      </c>
      <c r="AR350" s="58">
        <f t="shared" si="500"/>
        <v>0</v>
      </c>
      <c r="AS350" s="58">
        <f t="shared" si="500"/>
        <v>0</v>
      </c>
      <c r="AT350" s="58">
        <f t="shared" si="500"/>
        <v>0</v>
      </c>
      <c r="AU350" s="58">
        <f t="shared" si="500"/>
        <v>0</v>
      </c>
      <c r="AV350" s="58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</row>
    <row r="351" spans="1:68" ht="12.75" customHeight="1" x14ac:dyDescent="0.2">
      <c r="C351" s="27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58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</row>
    <row r="352" spans="1:68" ht="12.75" customHeight="1" x14ac:dyDescent="0.2">
      <c r="B352" s="28" t="s">
        <v>247</v>
      </c>
      <c r="C352" s="27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58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</row>
    <row r="353" spans="3:67" ht="12.75" customHeight="1" x14ac:dyDescent="0.2">
      <c r="C353" s="27" t="s">
        <v>248</v>
      </c>
      <c r="D353" s="23" t="s">
        <v>26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129">
        <f>0</f>
        <v>0</v>
      </c>
      <c r="S353" s="122">
        <f>R362</f>
        <v>0</v>
      </c>
      <c r="T353" s="122">
        <f t="shared" ref="T353" si="501">S362</f>
        <v>0</v>
      </c>
      <c r="U353" s="122">
        <f t="shared" ref="U353" si="502">T362</f>
        <v>0</v>
      </c>
      <c r="V353" s="122">
        <f t="shared" ref="V353" si="503">U362</f>
        <v>0</v>
      </c>
      <c r="W353" s="122">
        <f t="shared" ref="W353" si="504">V362</f>
        <v>0</v>
      </c>
      <c r="X353" s="122">
        <f t="shared" ref="X353" si="505">W362</f>
        <v>0</v>
      </c>
      <c r="Y353" s="122">
        <f t="shared" ref="Y353" si="506">X362</f>
        <v>0</v>
      </c>
      <c r="Z353" s="122">
        <f t="shared" ref="Z353" si="507">Y362</f>
        <v>0</v>
      </c>
      <c r="AA353" s="122">
        <f t="shared" ref="AA353" si="508">Z362</f>
        <v>0</v>
      </c>
      <c r="AB353" s="122">
        <f t="shared" ref="AB353" si="509">AA362</f>
        <v>0</v>
      </c>
      <c r="AC353" s="122">
        <f t="shared" ref="AC353" si="510">AB362</f>
        <v>0</v>
      </c>
      <c r="AD353" s="122">
        <f t="shared" ref="AD353" si="511">AC362</f>
        <v>0</v>
      </c>
      <c r="AE353" s="122">
        <f t="shared" ref="AE353" si="512">AD362</f>
        <v>0</v>
      </c>
      <c r="AF353" s="122">
        <f t="shared" ref="AF353" si="513">AE362</f>
        <v>0</v>
      </c>
      <c r="AG353" s="122">
        <f t="shared" ref="AG353" si="514">AF362</f>
        <v>0</v>
      </c>
      <c r="AH353" s="122">
        <f t="shared" ref="AH353" si="515">AG362</f>
        <v>0</v>
      </c>
      <c r="AI353" s="122">
        <f t="shared" ref="AI353" si="516">AH362</f>
        <v>0</v>
      </c>
      <c r="AJ353" s="122">
        <f t="shared" ref="AJ353" si="517">AI362</f>
        <v>0</v>
      </c>
      <c r="AK353" s="122">
        <f t="shared" ref="AK353" si="518">AJ362</f>
        <v>0</v>
      </c>
      <c r="AL353" s="122">
        <f t="shared" ref="AL353" si="519">AK362</f>
        <v>0</v>
      </c>
      <c r="AM353" s="122">
        <f t="shared" ref="AM353" si="520">AL362</f>
        <v>0</v>
      </c>
      <c r="AN353" s="122">
        <f t="shared" ref="AN353" si="521">AM362</f>
        <v>0</v>
      </c>
      <c r="AO353" s="122">
        <f t="shared" ref="AO353" si="522">AN362</f>
        <v>0</v>
      </c>
      <c r="AP353" s="122">
        <f t="shared" ref="AP353" si="523">AO362</f>
        <v>0</v>
      </c>
      <c r="AQ353" s="122">
        <f t="shared" ref="AQ353" si="524">AP362</f>
        <v>0</v>
      </c>
      <c r="AR353" s="122">
        <f t="shared" ref="AR353" si="525">AQ362</f>
        <v>0</v>
      </c>
      <c r="AS353" s="122">
        <f t="shared" ref="AS353" si="526">AR362</f>
        <v>0</v>
      </c>
      <c r="AT353" s="122">
        <f t="shared" ref="AT353" si="527">AS362</f>
        <v>0</v>
      </c>
      <c r="AU353" s="122">
        <f t="shared" ref="AU353" si="528">AT362</f>
        <v>0</v>
      </c>
      <c r="AV353" s="122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</row>
    <row r="354" spans="3:67" ht="12.75" customHeight="1" x14ac:dyDescent="0.2">
      <c r="C354" s="27" t="s">
        <v>255</v>
      </c>
      <c r="D354" s="23" t="s">
        <v>26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131">
        <f>R353*$E$14</f>
        <v>0</v>
      </c>
      <c r="S354" s="131">
        <f t="shared" ref="S354" si="529">S353*$E$14</f>
        <v>0</v>
      </c>
      <c r="T354" s="131">
        <f t="shared" ref="T354" si="530">T353*$E$14</f>
        <v>0</v>
      </c>
      <c r="U354" s="131">
        <f t="shared" ref="U354" si="531">U353*$E$14</f>
        <v>0</v>
      </c>
      <c r="V354" s="131">
        <f t="shared" ref="V354" si="532">V353*$E$14</f>
        <v>0</v>
      </c>
      <c r="W354" s="131">
        <f t="shared" ref="W354" si="533">W353*$E$14</f>
        <v>0</v>
      </c>
      <c r="X354" s="131">
        <f t="shared" ref="X354" si="534">X353*$E$14</f>
        <v>0</v>
      </c>
      <c r="Y354" s="131">
        <f t="shared" ref="Y354" si="535">Y353*$E$14</f>
        <v>0</v>
      </c>
      <c r="Z354" s="131">
        <f t="shared" ref="Z354" si="536">Z353*$E$14</f>
        <v>0</v>
      </c>
      <c r="AA354" s="131">
        <f t="shared" ref="AA354" si="537">AA353*$E$14</f>
        <v>0</v>
      </c>
      <c r="AB354" s="131">
        <f t="shared" ref="AB354" si="538">AB353*$E$14</f>
        <v>0</v>
      </c>
      <c r="AC354" s="131">
        <f t="shared" ref="AC354" si="539">AC353*$E$14</f>
        <v>0</v>
      </c>
      <c r="AD354" s="131">
        <f t="shared" ref="AD354" si="540">AD353*$E$14</f>
        <v>0</v>
      </c>
      <c r="AE354" s="131">
        <f t="shared" ref="AE354" si="541">AE353*$E$14</f>
        <v>0</v>
      </c>
      <c r="AF354" s="131">
        <f t="shared" ref="AF354" si="542">AF353*$E$14</f>
        <v>0</v>
      </c>
      <c r="AG354" s="131">
        <f t="shared" ref="AG354" si="543">AG353*$E$14</f>
        <v>0</v>
      </c>
      <c r="AH354" s="131">
        <f t="shared" ref="AH354" si="544">AH353*$E$14</f>
        <v>0</v>
      </c>
      <c r="AI354" s="131">
        <f t="shared" ref="AI354" si="545">AI353*$E$14</f>
        <v>0</v>
      </c>
      <c r="AJ354" s="131">
        <f t="shared" ref="AJ354" si="546">AJ353*$E$14</f>
        <v>0</v>
      </c>
      <c r="AK354" s="131">
        <f t="shared" ref="AK354" si="547">AK353*$E$14</f>
        <v>0</v>
      </c>
      <c r="AL354" s="131">
        <f t="shared" ref="AL354" si="548">AL353*$E$14</f>
        <v>0</v>
      </c>
      <c r="AM354" s="131">
        <f t="shared" ref="AM354" si="549">AM353*$E$14</f>
        <v>0</v>
      </c>
      <c r="AN354" s="131">
        <f t="shared" ref="AN354" si="550">AN353*$E$14</f>
        <v>0</v>
      </c>
      <c r="AO354" s="131">
        <f t="shared" ref="AO354" si="551">AO353*$E$14</f>
        <v>0</v>
      </c>
      <c r="AP354" s="131">
        <f t="shared" ref="AP354" si="552">AP353*$E$14</f>
        <v>0</v>
      </c>
      <c r="AQ354" s="131">
        <f t="shared" ref="AQ354" si="553">AQ353*$E$14</f>
        <v>0</v>
      </c>
      <c r="AR354" s="131">
        <f t="shared" ref="AR354" si="554">AR353*$E$14</f>
        <v>0</v>
      </c>
      <c r="AS354" s="131">
        <f t="shared" ref="AS354" si="555">AS353*$E$14</f>
        <v>0</v>
      </c>
      <c r="AT354" s="131">
        <f t="shared" ref="AT354" si="556">AT353*$E$14</f>
        <v>0</v>
      </c>
      <c r="AU354" s="131">
        <f t="shared" ref="AU354" si="557">AU353*$E$14</f>
        <v>0</v>
      </c>
      <c r="AV354" s="122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</row>
    <row r="355" spans="3:67" ht="12.75" customHeight="1" x14ac:dyDescent="0.2">
      <c r="C355" s="27" t="s">
        <v>249</v>
      </c>
      <c r="D355" s="23" t="s">
        <v>26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58">
        <f>R330</f>
        <v>0</v>
      </c>
      <c r="S355" s="58">
        <f t="shared" ref="S355:AU355" si="558">S330</f>
        <v>0</v>
      </c>
      <c r="T355" s="58">
        <f t="shared" si="558"/>
        <v>0</v>
      </c>
      <c r="U355" s="58">
        <f t="shared" si="558"/>
        <v>0</v>
      </c>
      <c r="V355" s="58">
        <f t="shared" si="558"/>
        <v>0</v>
      </c>
      <c r="W355" s="58">
        <f t="shared" si="558"/>
        <v>0</v>
      </c>
      <c r="X355" s="58">
        <f t="shared" si="558"/>
        <v>0</v>
      </c>
      <c r="Y355" s="58">
        <f t="shared" si="558"/>
        <v>0</v>
      </c>
      <c r="Z355" s="58">
        <f t="shared" si="558"/>
        <v>0</v>
      </c>
      <c r="AA355" s="58">
        <f t="shared" si="558"/>
        <v>0</v>
      </c>
      <c r="AB355" s="58">
        <f t="shared" si="558"/>
        <v>0</v>
      </c>
      <c r="AC355" s="58">
        <f t="shared" si="558"/>
        <v>0</v>
      </c>
      <c r="AD355" s="58">
        <f t="shared" si="558"/>
        <v>0</v>
      </c>
      <c r="AE355" s="58">
        <f t="shared" si="558"/>
        <v>0</v>
      </c>
      <c r="AF355" s="58">
        <f t="shared" si="558"/>
        <v>0</v>
      </c>
      <c r="AG355" s="58">
        <f t="shared" si="558"/>
        <v>0</v>
      </c>
      <c r="AH355" s="58">
        <f t="shared" si="558"/>
        <v>0</v>
      </c>
      <c r="AI355" s="58">
        <f t="shared" si="558"/>
        <v>0</v>
      </c>
      <c r="AJ355" s="58">
        <f t="shared" si="558"/>
        <v>0</v>
      </c>
      <c r="AK355" s="58">
        <f t="shared" si="558"/>
        <v>0</v>
      </c>
      <c r="AL355" s="58">
        <f t="shared" si="558"/>
        <v>0</v>
      </c>
      <c r="AM355" s="58">
        <f t="shared" si="558"/>
        <v>0</v>
      </c>
      <c r="AN355" s="58">
        <f t="shared" si="558"/>
        <v>0</v>
      </c>
      <c r="AO355" s="58">
        <f t="shared" si="558"/>
        <v>0</v>
      </c>
      <c r="AP355" s="58">
        <f t="shared" si="558"/>
        <v>0</v>
      </c>
      <c r="AQ355" s="58">
        <f t="shared" si="558"/>
        <v>0</v>
      </c>
      <c r="AR355" s="58">
        <f t="shared" si="558"/>
        <v>0</v>
      </c>
      <c r="AS355" s="58">
        <f t="shared" si="558"/>
        <v>0</v>
      </c>
      <c r="AT355" s="58">
        <f t="shared" si="558"/>
        <v>0</v>
      </c>
      <c r="AU355" s="58">
        <f t="shared" si="558"/>
        <v>0</v>
      </c>
      <c r="AV355" s="58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</row>
    <row r="356" spans="3:67" ht="12.75" customHeight="1" x14ac:dyDescent="0.2">
      <c r="C356" s="27" t="s">
        <v>250</v>
      </c>
      <c r="D356" s="23" t="s">
        <v>26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58">
        <f>R357+R358</f>
        <v>0</v>
      </c>
      <c r="S356" s="58">
        <f t="shared" ref="S356" si="559">S357+S358</f>
        <v>0</v>
      </c>
      <c r="T356" s="58">
        <f t="shared" ref="T356" si="560">T357+T358</f>
        <v>0</v>
      </c>
      <c r="U356" s="58">
        <f t="shared" ref="U356" si="561">U357+U358</f>
        <v>0</v>
      </c>
      <c r="V356" s="58">
        <f t="shared" ref="V356" si="562">V357+V358</f>
        <v>0</v>
      </c>
      <c r="W356" s="58">
        <f t="shared" ref="W356" si="563">W357+W358</f>
        <v>0</v>
      </c>
      <c r="X356" s="58">
        <f t="shared" ref="X356" si="564">X357+X358</f>
        <v>0</v>
      </c>
      <c r="Y356" s="58">
        <f t="shared" ref="Y356" si="565">Y357+Y358</f>
        <v>0</v>
      </c>
      <c r="Z356" s="58">
        <f t="shared" ref="Z356" si="566">Z357+Z358</f>
        <v>0</v>
      </c>
      <c r="AA356" s="58">
        <f t="shared" ref="AA356" si="567">AA357+AA358</f>
        <v>0</v>
      </c>
      <c r="AB356" s="58">
        <f t="shared" ref="AB356" si="568">AB357+AB358</f>
        <v>0</v>
      </c>
      <c r="AC356" s="58">
        <f t="shared" ref="AC356" si="569">AC357+AC358</f>
        <v>0</v>
      </c>
      <c r="AD356" s="58">
        <f t="shared" ref="AD356" si="570">AD357+AD358</f>
        <v>0</v>
      </c>
      <c r="AE356" s="58">
        <f t="shared" ref="AE356" si="571">AE357+AE358</f>
        <v>0</v>
      </c>
      <c r="AF356" s="58">
        <f t="shared" ref="AF356" si="572">AF357+AF358</f>
        <v>0</v>
      </c>
      <c r="AG356" s="58">
        <f t="shared" ref="AG356" si="573">AG357+AG358</f>
        <v>0</v>
      </c>
      <c r="AH356" s="58">
        <f t="shared" ref="AH356" si="574">AH357+AH358</f>
        <v>0</v>
      </c>
      <c r="AI356" s="58">
        <f t="shared" ref="AI356" si="575">AI357+AI358</f>
        <v>0</v>
      </c>
      <c r="AJ356" s="58">
        <f t="shared" ref="AJ356" si="576">AJ357+AJ358</f>
        <v>0</v>
      </c>
      <c r="AK356" s="58">
        <f t="shared" ref="AK356" si="577">AK357+AK358</f>
        <v>0</v>
      </c>
      <c r="AL356" s="58">
        <f t="shared" ref="AL356" si="578">AL357+AL358</f>
        <v>0</v>
      </c>
      <c r="AM356" s="58">
        <f t="shared" ref="AM356" si="579">AM357+AM358</f>
        <v>0</v>
      </c>
      <c r="AN356" s="58">
        <f t="shared" ref="AN356" si="580">AN357+AN358</f>
        <v>0</v>
      </c>
      <c r="AO356" s="58">
        <f t="shared" ref="AO356" si="581">AO357+AO358</f>
        <v>0</v>
      </c>
      <c r="AP356" s="58">
        <f t="shared" ref="AP356" si="582">AP357+AP358</f>
        <v>0</v>
      </c>
      <c r="AQ356" s="58">
        <f t="shared" ref="AQ356" si="583">AQ357+AQ358</f>
        <v>0</v>
      </c>
      <c r="AR356" s="58">
        <f t="shared" ref="AR356" si="584">AR357+AR358</f>
        <v>0</v>
      </c>
      <c r="AS356" s="58">
        <f t="shared" ref="AS356" si="585">AS357+AS358</f>
        <v>0</v>
      </c>
      <c r="AT356" s="58">
        <f t="shared" ref="AT356" si="586">AT357+AT358</f>
        <v>0</v>
      </c>
      <c r="AU356" s="58">
        <f t="shared" ref="AU356" si="587">AU357+AU358</f>
        <v>0</v>
      </c>
      <c r="AV356" s="58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</row>
    <row r="357" spans="3:67" ht="12.75" customHeight="1" x14ac:dyDescent="0.2">
      <c r="C357" s="38" t="s">
        <v>230</v>
      </c>
      <c r="D357" s="23" t="s">
        <v>26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58">
        <v>0</v>
      </c>
      <c r="S357" s="58">
        <v>0</v>
      </c>
      <c r="T357" s="58">
        <v>0</v>
      </c>
      <c r="U357" s="58">
        <v>0</v>
      </c>
      <c r="V357" s="58">
        <v>0</v>
      </c>
      <c r="W357" s="58">
        <v>0</v>
      </c>
      <c r="X357" s="58">
        <v>0</v>
      </c>
      <c r="Y357" s="58">
        <v>0</v>
      </c>
      <c r="Z357" s="58">
        <v>0</v>
      </c>
      <c r="AA357" s="58">
        <v>0</v>
      </c>
      <c r="AB357" s="58">
        <v>0</v>
      </c>
      <c r="AC357" s="58">
        <v>0</v>
      </c>
      <c r="AD357" s="58">
        <v>0</v>
      </c>
      <c r="AE357" s="58">
        <v>0</v>
      </c>
      <c r="AF357" s="58">
        <v>0</v>
      </c>
      <c r="AG357" s="58">
        <v>0</v>
      </c>
      <c r="AH357" s="58">
        <v>0</v>
      </c>
      <c r="AI357" s="58">
        <v>0</v>
      </c>
      <c r="AJ357" s="58">
        <v>0</v>
      </c>
      <c r="AK357" s="58">
        <v>0</v>
      </c>
      <c r="AL357" s="58">
        <v>0</v>
      </c>
      <c r="AM357" s="58">
        <v>0</v>
      </c>
      <c r="AN357" s="58">
        <v>0</v>
      </c>
      <c r="AO357" s="58">
        <v>0</v>
      </c>
      <c r="AP357" s="58">
        <v>0</v>
      </c>
      <c r="AQ357" s="58">
        <v>0</v>
      </c>
      <c r="AR357" s="58">
        <v>0</v>
      </c>
      <c r="AS357" s="58">
        <v>0</v>
      </c>
      <c r="AT357" s="58">
        <v>0</v>
      </c>
      <c r="AU357" s="58">
        <v>0</v>
      </c>
      <c r="AV357" s="58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</row>
    <row r="358" spans="3:67" ht="12.75" customHeight="1" x14ac:dyDescent="0.2">
      <c r="C358" s="38" t="s">
        <v>231</v>
      </c>
      <c r="D358" s="23" t="s">
        <v>26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58">
        <v>0</v>
      </c>
      <c r="S358" s="58">
        <v>0</v>
      </c>
      <c r="T358" s="58">
        <v>0</v>
      </c>
      <c r="U358" s="58">
        <v>0</v>
      </c>
      <c r="V358" s="58">
        <v>0</v>
      </c>
      <c r="W358" s="58">
        <v>0</v>
      </c>
      <c r="X358" s="58">
        <v>0</v>
      </c>
      <c r="Y358" s="58">
        <v>0</v>
      </c>
      <c r="Z358" s="58">
        <v>0</v>
      </c>
      <c r="AA358" s="58">
        <v>0</v>
      </c>
      <c r="AB358" s="58">
        <v>0</v>
      </c>
      <c r="AC358" s="58">
        <v>0</v>
      </c>
      <c r="AD358" s="58">
        <v>0</v>
      </c>
      <c r="AE358" s="58">
        <v>0</v>
      </c>
      <c r="AF358" s="58">
        <v>0</v>
      </c>
      <c r="AG358" s="58">
        <v>0</v>
      </c>
      <c r="AH358" s="58">
        <v>0</v>
      </c>
      <c r="AI358" s="58">
        <v>0</v>
      </c>
      <c r="AJ358" s="58">
        <v>0</v>
      </c>
      <c r="AK358" s="58">
        <v>0</v>
      </c>
      <c r="AL358" s="58">
        <v>0</v>
      </c>
      <c r="AM358" s="58">
        <v>0</v>
      </c>
      <c r="AN358" s="58">
        <v>0</v>
      </c>
      <c r="AO358" s="58">
        <v>0</v>
      </c>
      <c r="AP358" s="58">
        <v>0</v>
      </c>
      <c r="AQ358" s="58">
        <v>0</v>
      </c>
      <c r="AR358" s="58">
        <v>0</v>
      </c>
      <c r="AS358" s="58">
        <v>0</v>
      </c>
      <c r="AT358" s="58">
        <v>0</v>
      </c>
      <c r="AU358" s="58">
        <v>0</v>
      </c>
      <c r="AV358" s="58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</row>
    <row r="359" spans="3:67" ht="12.75" customHeight="1" x14ac:dyDescent="0.2">
      <c r="C359" s="27" t="s">
        <v>245</v>
      </c>
      <c r="D359" s="23" t="s">
        <v>26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58">
        <f>R353+R354+R355-R356</f>
        <v>0</v>
      </c>
      <c r="S359" s="58">
        <f t="shared" ref="S359:AU359" si="588">S353+S354+S355-S356</f>
        <v>0</v>
      </c>
      <c r="T359" s="58">
        <f t="shared" si="588"/>
        <v>0</v>
      </c>
      <c r="U359" s="58">
        <f t="shared" si="588"/>
        <v>0</v>
      </c>
      <c r="V359" s="58">
        <f t="shared" si="588"/>
        <v>0</v>
      </c>
      <c r="W359" s="58">
        <f t="shared" si="588"/>
        <v>0</v>
      </c>
      <c r="X359" s="58">
        <f t="shared" si="588"/>
        <v>0</v>
      </c>
      <c r="Y359" s="58">
        <f t="shared" si="588"/>
        <v>0</v>
      </c>
      <c r="Z359" s="58">
        <f t="shared" si="588"/>
        <v>0</v>
      </c>
      <c r="AA359" s="58">
        <f t="shared" si="588"/>
        <v>0</v>
      </c>
      <c r="AB359" s="58">
        <f t="shared" si="588"/>
        <v>0</v>
      </c>
      <c r="AC359" s="58">
        <f t="shared" si="588"/>
        <v>0</v>
      </c>
      <c r="AD359" s="58">
        <f t="shared" si="588"/>
        <v>0</v>
      </c>
      <c r="AE359" s="58">
        <f t="shared" si="588"/>
        <v>0</v>
      </c>
      <c r="AF359" s="58">
        <f t="shared" si="588"/>
        <v>0</v>
      </c>
      <c r="AG359" s="58">
        <f t="shared" si="588"/>
        <v>0</v>
      </c>
      <c r="AH359" s="58">
        <f t="shared" si="588"/>
        <v>0</v>
      </c>
      <c r="AI359" s="58">
        <f t="shared" si="588"/>
        <v>0</v>
      </c>
      <c r="AJ359" s="58">
        <f t="shared" si="588"/>
        <v>0</v>
      </c>
      <c r="AK359" s="58">
        <f t="shared" si="588"/>
        <v>0</v>
      </c>
      <c r="AL359" s="58">
        <f t="shared" si="588"/>
        <v>0</v>
      </c>
      <c r="AM359" s="58">
        <f t="shared" si="588"/>
        <v>0</v>
      </c>
      <c r="AN359" s="58">
        <f t="shared" si="588"/>
        <v>0</v>
      </c>
      <c r="AO359" s="58">
        <f t="shared" si="588"/>
        <v>0</v>
      </c>
      <c r="AP359" s="58">
        <f t="shared" si="588"/>
        <v>0</v>
      </c>
      <c r="AQ359" s="58">
        <f t="shared" si="588"/>
        <v>0</v>
      </c>
      <c r="AR359" s="58">
        <f t="shared" si="588"/>
        <v>0</v>
      </c>
      <c r="AS359" s="58">
        <f t="shared" si="588"/>
        <v>0</v>
      </c>
      <c r="AT359" s="58">
        <f t="shared" si="588"/>
        <v>0</v>
      </c>
      <c r="AU359" s="58">
        <f t="shared" si="588"/>
        <v>0</v>
      </c>
      <c r="AV359" s="58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</row>
    <row r="360" spans="3:67" ht="12.75" customHeight="1" x14ac:dyDescent="0.2">
      <c r="C360" s="27" t="s">
        <v>246</v>
      </c>
      <c r="D360" s="23" t="s">
        <v>26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58">
        <f t="shared" ref="R360:AU360" si="589">$E$24*R223</f>
        <v>0</v>
      </c>
      <c r="S360" s="58">
        <f t="shared" si="589"/>
        <v>0</v>
      </c>
      <c r="T360" s="58">
        <f t="shared" si="589"/>
        <v>0</v>
      </c>
      <c r="U360" s="58">
        <f t="shared" si="589"/>
        <v>0</v>
      </c>
      <c r="V360" s="58">
        <f t="shared" si="589"/>
        <v>0</v>
      </c>
      <c r="W360" s="58">
        <f t="shared" si="589"/>
        <v>0</v>
      </c>
      <c r="X360" s="58">
        <f t="shared" si="589"/>
        <v>0</v>
      </c>
      <c r="Y360" s="58">
        <f t="shared" si="589"/>
        <v>0</v>
      </c>
      <c r="Z360" s="58">
        <f t="shared" si="589"/>
        <v>0</v>
      </c>
      <c r="AA360" s="58">
        <f t="shared" si="589"/>
        <v>0</v>
      </c>
      <c r="AB360" s="58">
        <f t="shared" si="589"/>
        <v>0</v>
      </c>
      <c r="AC360" s="58">
        <f t="shared" si="589"/>
        <v>0</v>
      </c>
      <c r="AD360" s="58">
        <f t="shared" si="589"/>
        <v>0</v>
      </c>
      <c r="AE360" s="58">
        <f t="shared" si="589"/>
        <v>0</v>
      </c>
      <c r="AF360" s="58">
        <f t="shared" si="589"/>
        <v>0</v>
      </c>
      <c r="AG360" s="58">
        <f t="shared" si="589"/>
        <v>0</v>
      </c>
      <c r="AH360" s="58">
        <f t="shared" si="589"/>
        <v>0</v>
      </c>
      <c r="AI360" s="58">
        <f t="shared" si="589"/>
        <v>0</v>
      </c>
      <c r="AJ360" s="58">
        <f t="shared" si="589"/>
        <v>0</v>
      </c>
      <c r="AK360" s="58">
        <f t="shared" si="589"/>
        <v>0</v>
      </c>
      <c r="AL360" s="58">
        <f t="shared" si="589"/>
        <v>0</v>
      </c>
      <c r="AM360" s="58">
        <f t="shared" si="589"/>
        <v>0</v>
      </c>
      <c r="AN360" s="58">
        <f t="shared" si="589"/>
        <v>0</v>
      </c>
      <c r="AO360" s="58">
        <f t="shared" si="589"/>
        <v>0</v>
      </c>
      <c r="AP360" s="58">
        <f t="shared" si="589"/>
        <v>0</v>
      </c>
      <c r="AQ360" s="58">
        <f t="shared" si="589"/>
        <v>0</v>
      </c>
      <c r="AR360" s="58">
        <f t="shared" si="589"/>
        <v>0</v>
      </c>
      <c r="AS360" s="58">
        <f t="shared" si="589"/>
        <v>0</v>
      </c>
      <c r="AT360" s="58">
        <f t="shared" si="589"/>
        <v>0</v>
      </c>
      <c r="AU360" s="58">
        <f t="shared" si="589"/>
        <v>0</v>
      </c>
      <c r="AV360" s="58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</row>
    <row r="361" spans="3:67" ht="12.75" customHeight="1" x14ac:dyDescent="0.2">
      <c r="C361" s="38" t="s">
        <v>251</v>
      </c>
      <c r="D361" s="23" t="s">
        <v>26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58">
        <f>MAX(R359-R360,0)</f>
        <v>0</v>
      </c>
      <c r="S361" s="58">
        <f t="shared" ref="S361" si="590">MAX(S359-S360,0)</f>
        <v>0</v>
      </c>
      <c r="T361" s="58">
        <f t="shared" ref="T361" si="591">MAX(T359-T360,0)</f>
        <v>0</v>
      </c>
      <c r="U361" s="58">
        <f t="shared" ref="U361" si="592">MAX(U359-U360,0)</f>
        <v>0</v>
      </c>
      <c r="V361" s="58">
        <f t="shared" ref="V361" si="593">MAX(V359-V360,0)</f>
        <v>0</v>
      </c>
      <c r="W361" s="58">
        <f t="shared" ref="W361" si="594">MAX(W359-W360,0)</f>
        <v>0</v>
      </c>
      <c r="X361" s="58">
        <f t="shared" ref="X361" si="595">MAX(X359-X360,0)</f>
        <v>0</v>
      </c>
      <c r="Y361" s="58">
        <f t="shared" ref="Y361" si="596">MAX(Y359-Y360,0)</f>
        <v>0</v>
      </c>
      <c r="Z361" s="58">
        <f t="shared" ref="Z361" si="597">MAX(Z359-Z360,0)</f>
        <v>0</v>
      </c>
      <c r="AA361" s="58">
        <f t="shared" ref="AA361" si="598">MAX(AA359-AA360,0)</f>
        <v>0</v>
      </c>
      <c r="AB361" s="58">
        <f t="shared" ref="AB361" si="599">MAX(AB359-AB360,0)</f>
        <v>0</v>
      </c>
      <c r="AC361" s="58">
        <f t="shared" ref="AC361" si="600">MAX(AC359-AC360,0)</f>
        <v>0</v>
      </c>
      <c r="AD361" s="58">
        <f t="shared" ref="AD361" si="601">MAX(AD359-AD360,0)</f>
        <v>0</v>
      </c>
      <c r="AE361" s="58">
        <f t="shared" ref="AE361" si="602">MAX(AE359-AE360,0)</f>
        <v>0</v>
      </c>
      <c r="AF361" s="58">
        <f t="shared" ref="AF361" si="603">MAX(AF359-AF360,0)</f>
        <v>0</v>
      </c>
      <c r="AG361" s="58">
        <f t="shared" ref="AG361" si="604">MAX(AG359-AG360,0)</f>
        <v>0</v>
      </c>
      <c r="AH361" s="58">
        <f t="shared" ref="AH361" si="605">MAX(AH359-AH360,0)</f>
        <v>0</v>
      </c>
      <c r="AI361" s="58">
        <f t="shared" ref="AI361" si="606">MAX(AI359-AI360,0)</f>
        <v>0</v>
      </c>
      <c r="AJ361" s="58">
        <f t="shared" ref="AJ361" si="607">MAX(AJ359-AJ360,0)</f>
        <v>0</v>
      </c>
      <c r="AK361" s="58">
        <f t="shared" ref="AK361" si="608">MAX(AK359-AK360,0)</f>
        <v>0</v>
      </c>
      <c r="AL361" s="58">
        <f t="shared" ref="AL361" si="609">MAX(AL359-AL360,0)</f>
        <v>0</v>
      </c>
      <c r="AM361" s="58">
        <f t="shared" ref="AM361" si="610">MAX(AM359-AM360,0)</f>
        <v>0</v>
      </c>
      <c r="AN361" s="58">
        <f t="shared" ref="AN361" si="611">MAX(AN359-AN360,0)</f>
        <v>0</v>
      </c>
      <c r="AO361" s="58">
        <f t="shared" ref="AO361" si="612">MAX(AO359-AO360,0)</f>
        <v>0</v>
      </c>
      <c r="AP361" s="58">
        <f t="shared" ref="AP361" si="613">MAX(AP359-AP360,0)</f>
        <v>0</v>
      </c>
      <c r="AQ361" s="58">
        <f t="shared" ref="AQ361" si="614">MAX(AQ359-AQ360,0)</f>
        <v>0</v>
      </c>
      <c r="AR361" s="58">
        <f t="shared" ref="AR361" si="615">MAX(AR359-AR360,0)</f>
        <v>0</v>
      </c>
      <c r="AS361" s="58">
        <f t="shared" ref="AS361" si="616">MAX(AS359-AS360,0)</f>
        <v>0</v>
      </c>
      <c r="AT361" s="58">
        <f t="shared" ref="AT361" si="617">MAX(AT359-AT360,0)</f>
        <v>0</v>
      </c>
      <c r="AU361" s="58">
        <f t="shared" ref="AU361" si="618">MAX(AU359-AU360,0)</f>
        <v>0</v>
      </c>
      <c r="AV361" s="58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</row>
    <row r="362" spans="3:67" ht="12.75" customHeight="1" x14ac:dyDescent="0.2">
      <c r="C362" s="27" t="s">
        <v>252</v>
      </c>
      <c r="D362" s="23" t="s">
        <v>26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58">
        <f t="shared" ref="R362:AU362" si="619">R353+R355-R356</f>
        <v>0</v>
      </c>
      <c r="S362" s="58">
        <f t="shared" si="619"/>
        <v>0</v>
      </c>
      <c r="T362" s="58">
        <f t="shared" si="619"/>
        <v>0</v>
      </c>
      <c r="U362" s="58">
        <f t="shared" si="619"/>
        <v>0</v>
      </c>
      <c r="V362" s="58">
        <f t="shared" si="619"/>
        <v>0</v>
      </c>
      <c r="W362" s="58">
        <f t="shared" si="619"/>
        <v>0</v>
      </c>
      <c r="X362" s="58">
        <f t="shared" si="619"/>
        <v>0</v>
      </c>
      <c r="Y362" s="58">
        <f t="shared" si="619"/>
        <v>0</v>
      </c>
      <c r="Z362" s="58">
        <f t="shared" si="619"/>
        <v>0</v>
      </c>
      <c r="AA362" s="58">
        <f t="shared" si="619"/>
        <v>0</v>
      </c>
      <c r="AB362" s="58">
        <f t="shared" si="619"/>
        <v>0</v>
      </c>
      <c r="AC362" s="58">
        <f t="shared" si="619"/>
        <v>0</v>
      </c>
      <c r="AD362" s="58">
        <f t="shared" si="619"/>
        <v>0</v>
      </c>
      <c r="AE362" s="58">
        <f t="shared" si="619"/>
        <v>0</v>
      </c>
      <c r="AF362" s="58">
        <f t="shared" si="619"/>
        <v>0</v>
      </c>
      <c r="AG362" s="58">
        <f t="shared" si="619"/>
        <v>0</v>
      </c>
      <c r="AH362" s="58">
        <f t="shared" si="619"/>
        <v>0</v>
      </c>
      <c r="AI362" s="58">
        <f t="shared" si="619"/>
        <v>0</v>
      </c>
      <c r="AJ362" s="58">
        <f t="shared" si="619"/>
        <v>0</v>
      </c>
      <c r="AK362" s="58">
        <f t="shared" si="619"/>
        <v>0</v>
      </c>
      <c r="AL362" s="58">
        <f t="shared" si="619"/>
        <v>0</v>
      </c>
      <c r="AM362" s="58">
        <f t="shared" si="619"/>
        <v>0</v>
      </c>
      <c r="AN362" s="58">
        <f t="shared" si="619"/>
        <v>0</v>
      </c>
      <c r="AO362" s="58">
        <f t="shared" si="619"/>
        <v>0</v>
      </c>
      <c r="AP362" s="58">
        <f t="shared" si="619"/>
        <v>0</v>
      </c>
      <c r="AQ362" s="58">
        <f t="shared" si="619"/>
        <v>0</v>
      </c>
      <c r="AR362" s="58">
        <f t="shared" si="619"/>
        <v>0</v>
      </c>
      <c r="AS362" s="58">
        <f t="shared" si="619"/>
        <v>0</v>
      </c>
      <c r="AT362" s="58">
        <f t="shared" si="619"/>
        <v>0</v>
      </c>
      <c r="AU362" s="58">
        <f t="shared" si="619"/>
        <v>0</v>
      </c>
      <c r="AV362" s="58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</row>
    <row r="363" spans="3:67" ht="12.75" customHeight="1" x14ac:dyDescent="0.2">
      <c r="C363" s="27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128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</row>
    <row r="364" spans="3:67" ht="12.75" customHeight="1" x14ac:dyDescent="0.2">
      <c r="C364" s="27" t="s">
        <v>232</v>
      </c>
      <c r="D364" s="23" t="s">
        <v>26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58">
        <f t="shared" ref="R364:AU364" si="620">$E$12*R348</f>
        <v>0</v>
      </c>
      <c r="S364" s="58">
        <f t="shared" si="620"/>
        <v>0</v>
      </c>
      <c r="T364" s="58">
        <f t="shared" si="620"/>
        <v>0</v>
      </c>
      <c r="U364" s="58">
        <f t="shared" si="620"/>
        <v>0</v>
      </c>
      <c r="V364" s="58">
        <f t="shared" si="620"/>
        <v>0</v>
      </c>
      <c r="W364" s="58">
        <f t="shared" si="620"/>
        <v>0</v>
      </c>
      <c r="X364" s="58">
        <f t="shared" si="620"/>
        <v>0</v>
      </c>
      <c r="Y364" s="58">
        <f t="shared" si="620"/>
        <v>0</v>
      </c>
      <c r="Z364" s="58">
        <f t="shared" si="620"/>
        <v>0</v>
      </c>
      <c r="AA364" s="58">
        <f t="shared" si="620"/>
        <v>0</v>
      </c>
      <c r="AB364" s="58">
        <f t="shared" si="620"/>
        <v>0</v>
      </c>
      <c r="AC364" s="58">
        <f t="shared" si="620"/>
        <v>0</v>
      </c>
      <c r="AD364" s="58">
        <f t="shared" si="620"/>
        <v>0</v>
      </c>
      <c r="AE364" s="58">
        <f t="shared" si="620"/>
        <v>0</v>
      </c>
      <c r="AF364" s="58">
        <f t="shared" si="620"/>
        <v>0</v>
      </c>
      <c r="AG364" s="58">
        <f t="shared" si="620"/>
        <v>0</v>
      </c>
      <c r="AH364" s="58">
        <f t="shared" si="620"/>
        <v>0</v>
      </c>
      <c r="AI364" s="58">
        <f t="shared" si="620"/>
        <v>0</v>
      </c>
      <c r="AJ364" s="58">
        <f t="shared" si="620"/>
        <v>0</v>
      </c>
      <c r="AK364" s="58">
        <f t="shared" si="620"/>
        <v>0</v>
      </c>
      <c r="AL364" s="58">
        <f t="shared" si="620"/>
        <v>0</v>
      </c>
      <c r="AM364" s="58">
        <f t="shared" si="620"/>
        <v>0</v>
      </c>
      <c r="AN364" s="58">
        <f t="shared" si="620"/>
        <v>0</v>
      </c>
      <c r="AO364" s="58">
        <f t="shared" si="620"/>
        <v>0</v>
      </c>
      <c r="AP364" s="58">
        <f t="shared" si="620"/>
        <v>0</v>
      </c>
      <c r="AQ364" s="58">
        <f t="shared" si="620"/>
        <v>0</v>
      </c>
      <c r="AR364" s="58">
        <f t="shared" si="620"/>
        <v>0</v>
      </c>
      <c r="AS364" s="58">
        <f t="shared" si="620"/>
        <v>0</v>
      </c>
      <c r="AT364" s="58">
        <f t="shared" si="620"/>
        <v>0</v>
      </c>
      <c r="AU364" s="58">
        <f t="shared" si="620"/>
        <v>0</v>
      </c>
      <c r="AV364" s="58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4"/>
  <sheetViews>
    <sheetView workbookViewId="0">
      <selection activeCell="E47" sqref="E47"/>
    </sheetView>
  </sheetViews>
  <sheetFormatPr defaultRowHeight="12.75" x14ac:dyDescent="0.2"/>
  <cols>
    <col min="1" max="1" width="9.140625" style="23"/>
    <col min="2" max="2" width="48" style="23" customWidth="1"/>
    <col min="3" max="3" width="13" style="23" customWidth="1"/>
    <col min="4" max="7" width="11.140625" style="23" customWidth="1"/>
    <col min="8" max="8" width="10.140625" style="23" customWidth="1"/>
    <col min="9" max="10" width="10.5703125" style="23" customWidth="1"/>
    <col min="11" max="16384" width="9.140625" style="23"/>
  </cols>
  <sheetData>
    <row r="3" spans="1:10" x14ac:dyDescent="0.2">
      <c r="B3" s="23" t="s">
        <v>535</v>
      </c>
    </row>
    <row r="4" spans="1:10" x14ac:dyDescent="0.2">
      <c r="B4" s="23" t="s">
        <v>536</v>
      </c>
    </row>
    <row r="6" spans="1:10" x14ac:dyDescent="0.2">
      <c r="A6" s="28" t="s">
        <v>589</v>
      </c>
    </row>
    <row r="7" spans="1:10" x14ac:dyDescent="0.2">
      <c r="B7" s="23" t="s">
        <v>537</v>
      </c>
      <c r="D7" s="28" t="s">
        <v>592</v>
      </c>
      <c r="E7" s="28" t="s">
        <v>593</v>
      </c>
    </row>
    <row r="8" spans="1:10" x14ac:dyDescent="0.2">
      <c r="D8" s="28"/>
      <c r="E8" s="28"/>
      <c r="F8" s="23" t="s">
        <v>598</v>
      </c>
      <c r="H8" s="23" t="s">
        <v>597</v>
      </c>
      <c r="J8" s="23" t="s">
        <v>600</v>
      </c>
    </row>
    <row r="9" spans="1:10" x14ac:dyDescent="0.2">
      <c r="D9" s="211" t="s">
        <v>590</v>
      </c>
      <c r="E9" s="23" t="s">
        <v>596</v>
      </c>
      <c r="F9" s="23" t="s">
        <v>542</v>
      </c>
      <c r="G9" s="23" t="s">
        <v>543</v>
      </c>
      <c r="H9" s="23" t="s">
        <v>542</v>
      </c>
      <c r="I9" s="23" t="s">
        <v>543</v>
      </c>
      <c r="J9" s="23" t="s">
        <v>543</v>
      </c>
    </row>
    <row r="10" spans="1:10" x14ac:dyDescent="0.2">
      <c r="B10" s="25" t="s">
        <v>213</v>
      </c>
      <c r="C10" s="114" t="s">
        <v>19</v>
      </c>
      <c r="D10" s="114" t="s">
        <v>591</v>
      </c>
      <c r="E10" s="25"/>
      <c r="F10" s="25"/>
      <c r="G10" s="25"/>
      <c r="H10" s="25"/>
      <c r="I10" s="25"/>
      <c r="J10" s="25"/>
    </row>
    <row r="11" spans="1:10" x14ac:dyDescent="0.2">
      <c r="B11" s="85" t="s">
        <v>566</v>
      </c>
      <c r="C11" s="211" t="s">
        <v>78</v>
      </c>
      <c r="D11" s="184">
        <f>'Susitna rate analysis'!E6</f>
        <v>600</v>
      </c>
      <c r="E11" s="136">
        <v>600</v>
      </c>
      <c r="F11" s="136">
        <v>600</v>
      </c>
      <c r="G11" s="136">
        <v>600</v>
      </c>
      <c r="H11" s="136">
        <v>600</v>
      </c>
      <c r="I11" s="136">
        <v>600</v>
      </c>
      <c r="J11" s="136">
        <v>600</v>
      </c>
    </row>
    <row r="12" spans="1:10" x14ac:dyDescent="0.2">
      <c r="B12" s="23" t="s">
        <v>273</v>
      </c>
      <c r="C12" s="55" t="s">
        <v>0</v>
      </c>
      <c r="D12" s="184">
        <f>'Susitna rate analysis'!E7</f>
        <v>2800000.1</v>
      </c>
      <c r="E12" s="136">
        <v>2800000</v>
      </c>
      <c r="F12" s="136">
        <v>2800000</v>
      </c>
      <c r="G12" s="136">
        <v>2800000</v>
      </c>
      <c r="H12" s="136">
        <v>2800000</v>
      </c>
      <c r="I12" s="136">
        <v>2800000</v>
      </c>
      <c r="J12" s="136">
        <v>2800000</v>
      </c>
    </row>
    <row r="13" spans="1:10" x14ac:dyDescent="0.2">
      <c r="B13" s="23" t="s">
        <v>559</v>
      </c>
      <c r="C13" s="55" t="s">
        <v>33</v>
      </c>
      <c r="D13" s="184">
        <f>'Susitna rate analysis'!E8</f>
        <v>100</v>
      </c>
      <c r="E13" s="136">
        <v>100</v>
      </c>
      <c r="F13" s="136">
        <v>100</v>
      </c>
      <c r="G13" s="136">
        <v>100</v>
      </c>
      <c r="H13" s="136">
        <v>100</v>
      </c>
      <c r="I13" s="136">
        <v>100</v>
      </c>
      <c r="J13" s="136">
        <v>100</v>
      </c>
    </row>
    <row r="14" spans="1:10" x14ac:dyDescent="0.2">
      <c r="B14" s="23" t="s">
        <v>291</v>
      </c>
      <c r="C14" s="55" t="s">
        <v>221</v>
      </c>
      <c r="D14" s="186">
        <f>'Susitna rate analysis'!E9</f>
        <v>4.4800000000000004</v>
      </c>
      <c r="E14" s="133">
        <v>5.19</v>
      </c>
      <c r="F14" s="90">
        <v>4.4800000000000004</v>
      </c>
      <c r="G14" s="90">
        <v>5.49</v>
      </c>
      <c r="H14" s="133">
        <v>5.19</v>
      </c>
      <c r="I14" s="133">
        <v>5.19</v>
      </c>
      <c r="J14" s="133">
        <v>5.19</v>
      </c>
    </row>
    <row r="15" spans="1:10" x14ac:dyDescent="0.2">
      <c r="B15" s="23" t="s">
        <v>75</v>
      </c>
      <c r="C15" s="55"/>
      <c r="D15" s="264">
        <f>'Susitna rate analysis'!E10</f>
        <v>1</v>
      </c>
      <c r="E15" s="134">
        <v>1</v>
      </c>
      <c r="F15" s="134">
        <v>1</v>
      </c>
      <c r="G15" s="134">
        <v>1</v>
      </c>
      <c r="H15" s="134">
        <v>1</v>
      </c>
      <c r="I15" s="134">
        <v>1</v>
      </c>
      <c r="J15" s="134">
        <v>1</v>
      </c>
    </row>
    <row r="16" spans="1:10" x14ac:dyDescent="0.2">
      <c r="B16" s="23" t="s">
        <v>226</v>
      </c>
      <c r="C16" s="55"/>
      <c r="D16" s="264">
        <f>'Susitna rate analysis'!E11</f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</row>
    <row r="17" spans="2:10" x14ac:dyDescent="0.2">
      <c r="B17" s="23" t="s">
        <v>224</v>
      </c>
      <c r="C17" s="55" t="s">
        <v>20</v>
      </c>
      <c r="D17" s="265">
        <f>'Susitna rate analysis'!E12</f>
        <v>0.04</v>
      </c>
      <c r="E17" s="135">
        <v>0.05</v>
      </c>
      <c r="F17" s="135">
        <v>0.05</v>
      </c>
      <c r="G17" s="135">
        <v>0.05</v>
      </c>
      <c r="H17" s="230">
        <v>0.04</v>
      </c>
      <c r="I17" s="230">
        <v>0.06</v>
      </c>
      <c r="J17" s="135">
        <v>0.05</v>
      </c>
    </row>
    <row r="18" spans="2:10" x14ac:dyDescent="0.2">
      <c r="B18" s="23" t="s">
        <v>314</v>
      </c>
      <c r="C18" s="55" t="s">
        <v>33</v>
      </c>
      <c r="D18" s="184">
        <f>'Susitna rate analysis'!E13</f>
        <v>30</v>
      </c>
      <c r="E18" s="136">
        <v>30</v>
      </c>
      <c r="F18" s="136">
        <v>30</v>
      </c>
      <c r="G18" s="136">
        <v>30</v>
      </c>
      <c r="H18" s="136">
        <v>30</v>
      </c>
      <c r="I18" s="136">
        <v>30</v>
      </c>
      <c r="J18" s="136">
        <v>30</v>
      </c>
    </row>
    <row r="19" spans="2:10" x14ac:dyDescent="0.2">
      <c r="B19" s="23" t="s">
        <v>225</v>
      </c>
      <c r="C19" s="55" t="s">
        <v>20</v>
      </c>
      <c r="D19" s="265">
        <f>'Susitna rate analysis'!E14</f>
        <v>0.02</v>
      </c>
      <c r="E19" s="135">
        <v>0.02</v>
      </c>
      <c r="F19" s="135">
        <v>0.02</v>
      </c>
      <c r="G19" s="135">
        <v>0.02</v>
      </c>
      <c r="H19" s="230">
        <v>0.02</v>
      </c>
      <c r="I19" s="230">
        <v>0.06</v>
      </c>
      <c r="J19" s="135">
        <v>0.02</v>
      </c>
    </row>
    <row r="20" spans="2:10" x14ac:dyDescent="0.2">
      <c r="B20" s="23" t="s">
        <v>569</v>
      </c>
      <c r="C20" s="55" t="s">
        <v>570</v>
      </c>
      <c r="D20" s="266">
        <f>'Susitna rate analysis'!E15</f>
        <v>1</v>
      </c>
      <c r="E20" s="229">
        <v>1</v>
      </c>
      <c r="F20" s="229">
        <v>1</v>
      </c>
      <c r="G20" s="229">
        <v>1</v>
      </c>
      <c r="H20" s="229">
        <v>1</v>
      </c>
      <c r="I20" s="229">
        <v>1</v>
      </c>
      <c r="J20" s="229">
        <v>1</v>
      </c>
    </row>
    <row r="21" spans="2:10" x14ac:dyDescent="0.2">
      <c r="B21" s="23" t="s">
        <v>601</v>
      </c>
      <c r="C21" s="55" t="s">
        <v>20</v>
      </c>
      <c r="D21" s="265">
        <f>'Susitna rate analysis'!E16</f>
        <v>0.02</v>
      </c>
      <c r="E21" s="135">
        <v>0.02</v>
      </c>
      <c r="F21" s="135">
        <v>0.02</v>
      </c>
      <c r="G21" s="135">
        <v>0.02</v>
      </c>
      <c r="H21" s="135">
        <v>0.02</v>
      </c>
      <c r="I21" s="135">
        <v>0.02</v>
      </c>
      <c r="J21" s="135">
        <v>0.02</v>
      </c>
    </row>
    <row r="22" spans="2:10" x14ac:dyDescent="0.2">
      <c r="B22" s="23" t="s">
        <v>580</v>
      </c>
      <c r="C22" s="55" t="s">
        <v>570</v>
      </c>
      <c r="D22" s="267">
        <f>'Susitna rate analysis'!E17</f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235">
        <v>1.25</v>
      </c>
    </row>
    <row r="23" spans="2:10" x14ac:dyDescent="0.2">
      <c r="B23" s="23" t="s">
        <v>522</v>
      </c>
      <c r="C23" s="55" t="s">
        <v>274</v>
      </c>
      <c r="D23" s="268">
        <f>'Susitna rate analysis'!E18</f>
        <v>2.5000000000000001E-2</v>
      </c>
      <c r="E23" s="137">
        <v>2.5000000000000001E-2</v>
      </c>
      <c r="F23" s="137">
        <v>2.5000000000000001E-2</v>
      </c>
      <c r="G23" s="137">
        <v>2.5000000000000001E-2</v>
      </c>
      <c r="H23" s="137">
        <v>2.5000000000000001E-2</v>
      </c>
      <c r="I23" s="137">
        <v>2.5000000000000001E-2</v>
      </c>
      <c r="J23" s="137">
        <v>2.5000000000000001E-2</v>
      </c>
    </row>
    <row r="24" spans="2:10" x14ac:dyDescent="0.2">
      <c r="B24" s="23" t="s">
        <v>315</v>
      </c>
      <c r="C24" s="55" t="s">
        <v>221</v>
      </c>
      <c r="D24" s="190">
        <f>'Susitna rate analysis'!E19</f>
        <v>1.7999999999999999E-2</v>
      </c>
      <c r="E24" s="60">
        <v>1.7999999999999999E-2</v>
      </c>
      <c r="F24" s="60">
        <v>1.7999999999999999E-2</v>
      </c>
      <c r="G24" s="60">
        <v>1.7999999999999999E-2</v>
      </c>
      <c r="H24" s="60">
        <v>1.7999999999999999E-2</v>
      </c>
      <c r="I24" s="60">
        <v>1.7999999999999999E-2</v>
      </c>
      <c r="J24" s="60">
        <v>1.7999999999999999E-2</v>
      </c>
    </row>
    <row r="25" spans="2:10" x14ac:dyDescent="0.2">
      <c r="B25" s="23" t="s">
        <v>261</v>
      </c>
      <c r="C25" s="55"/>
      <c r="D25" s="267">
        <f>'Susitna rate analysis'!E20</f>
        <v>0.95</v>
      </c>
      <c r="E25" s="138">
        <v>0.95</v>
      </c>
      <c r="F25" s="138">
        <v>0.95</v>
      </c>
      <c r="G25" s="138">
        <v>0.95</v>
      </c>
      <c r="H25" s="138">
        <v>0.95</v>
      </c>
      <c r="I25" s="138">
        <v>0.95</v>
      </c>
      <c r="J25" s="138">
        <v>0.95</v>
      </c>
    </row>
    <row r="26" spans="2:10" x14ac:dyDescent="0.2">
      <c r="B26" s="23" t="s">
        <v>567</v>
      </c>
      <c r="C26" s="113" t="s">
        <v>223</v>
      </c>
      <c r="D26" s="190">
        <f>'Susitna rate analysis'!E21</f>
        <v>4.8000000000000001E-2</v>
      </c>
      <c r="E26" s="60">
        <v>4.8000000000000001E-2</v>
      </c>
      <c r="F26" s="60">
        <v>4.8000000000000001E-2</v>
      </c>
      <c r="G26" s="60">
        <v>4.8000000000000001E-2</v>
      </c>
      <c r="H26" s="60">
        <v>4.8000000000000001E-2</v>
      </c>
      <c r="I26" s="60">
        <v>4.8000000000000001E-2</v>
      </c>
      <c r="J26" s="60">
        <v>4.8000000000000001E-2</v>
      </c>
    </row>
    <row r="27" spans="2:10" x14ac:dyDescent="0.2">
      <c r="D27" s="188"/>
      <c r="E27" s="99"/>
      <c r="F27" s="99"/>
      <c r="G27" s="99"/>
      <c r="H27" s="99"/>
      <c r="I27" s="99"/>
      <c r="J27" s="99"/>
    </row>
    <row r="28" spans="2:10" x14ac:dyDescent="0.2">
      <c r="B28" s="23" t="s">
        <v>537</v>
      </c>
      <c r="D28" s="269">
        <f>'Susitna rate analysis'!E30</f>
        <v>0.10194020566369887</v>
      </c>
      <c r="E28" s="270">
        <v>0.13200731368884877</v>
      </c>
      <c r="F28" s="270">
        <v>0.11487423441314802</v>
      </c>
      <c r="G28" s="270">
        <v>0.13924664296027167</v>
      </c>
      <c r="H28" s="270">
        <v>0.11702347656512201</v>
      </c>
      <c r="I28" s="270">
        <v>0.17043300040475232</v>
      </c>
      <c r="J28" s="270">
        <v>0.16331741278775269</v>
      </c>
    </row>
    <row r="29" spans="2:10" x14ac:dyDescent="0.2">
      <c r="D29" s="232"/>
      <c r="F29" s="232"/>
      <c r="G29" s="232"/>
      <c r="H29" s="232"/>
      <c r="I29" s="232"/>
    </row>
    <row r="36" spans="2:12" x14ac:dyDescent="0.2">
      <c r="B36" s="23" t="s">
        <v>535</v>
      </c>
    </row>
    <row r="37" spans="2:12" x14ac:dyDescent="0.2">
      <c r="B37" s="23" t="s">
        <v>539</v>
      </c>
      <c r="C37" s="23" t="s">
        <v>544</v>
      </c>
      <c r="D37" s="233">
        <f>ROUND(E28,3)</f>
        <v>0.13200000000000001</v>
      </c>
    </row>
    <row r="39" spans="2:12" x14ac:dyDescent="0.2">
      <c r="C39" s="23" t="s">
        <v>540</v>
      </c>
      <c r="E39" s="23" t="s">
        <v>541</v>
      </c>
    </row>
    <row r="40" spans="2:12" x14ac:dyDescent="0.2">
      <c r="B40" s="23" t="s">
        <v>538</v>
      </c>
      <c r="C40" s="23" t="s">
        <v>542</v>
      </c>
      <c r="D40" s="23" t="s">
        <v>543</v>
      </c>
      <c r="E40" s="23" t="s">
        <v>542</v>
      </c>
      <c r="F40" s="23" t="s">
        <v>543</v>
      </c>
    </row>
    <row r="41" spans="2:12" ht="25.5" x14ac:dyDescent="0.2">
      <c r="B41" s="234" t="s">
        <v>599</v>
      </c>
      <c r="C41" s="231">
        <f>F14</f>
        <v>4.4800000000000004</v>
      </c>
      <c r="D41" s="231">
        <f>G14</f>
        <v>5.49</v>
      </c>
      <c r="E41" s="232">
        <f>F28</f>
        <v>0.11487423441314802</v>
      </c>
      <c r="F41" s="232">
        <f>G28</f>
        <v>0.13924664296027167</v>
      </c>
    </row>
    <row r="42" spans="2:12" ht="38.25" x14ac:dyDescent="0.2">
      <c r="B42" s="234" t="s">
        <v>546</v>
      </c>
      <c r="C42" s="271" t="s">
        <v>594</v>
      </c>
      <c r="D42" s="271" t="s">
        <v>595</v>
      </c>
      <c r="E42" s="232">
        <f>H28</f>
        <v>0.11702347656512201</v>
      </c>
      <c r="F42" s="232">
        <f>I28</f>
        <v>0.17043300040475232</v>
      </c>
    </row>
    <row r="43" spans="2:12" ht="25.5" x14ac:dyDescent="0.2">
      <c r="B43" s="234" t="s">
        <v>545</v>
      </c>
      <c r="D43" s="45">
        <f>J22</f>
        <v>1.25</v>
      </c>
      <c r="F43" s="232">
        <f>J28</f>
        <v>0.16331741278775269</v>
      </c>
    </row>
    <row r="44" spans="2:12" x14ac:dyDescent="0.2">
      <c r="B44" s="234"/>
      <c r="D44" s="45"/>
      <c r="F44" s="232"/>
      <c r="L44" s="23" t="s">
        <v>487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1"/>
  <sheetViews>
    <sheetView topLeftCell="A49" workbookViewId="0">
      <selection activeCell="D91" sqref="D91"/>
    </sheetView>
  </sheetViews>
  <sheetFormatPr defaultRowHeight="12.75" x14ac:dyDescent="0.2"/>
  <cols>
    <col min="1" max="2" width="9.140625" style="23"/>
    <col min="3" max="3" width="29" style="23" customWidth="1"/>
    <col min="4" max="16384" width="9.140625" style="23"/>
  </cols>
  <sheetData>
    <row r="2" spans="1:53" x14ac:dyDescent="0.2">
      <c r="B2" s="28" t="s">
        <v>282</v>
      </c>
    </row>
    <row r="3" spans="1:53" x14ac:dyDescent="0.2">
      <c r="B3" s="28"/>
    </row>
    <row r="4" spans="1:53" x14ac:dyDescent="0.2">
      <c r="B4" s="73" t="s">
        <v>283</v>
      </c>
      <c r="D4" s="23">
        <v>1</v>
      </c>
      <c r="E4" s="23">
        <f>D4+1</f>
        <v>2</v>
      </c>
      <c r="F4" s="23">
        <f t="shared" ref="F4:F5" si="0">E4+1</f>
        <v>3</v>
      </c>
      <c r="G4" s="23">
        <f t="shared" ref="G4:G5" si="1">F4+1</f>
        <v>4</v>
      </c>
      <c r="H4" s="23">
        <f t="shared" ref="H4:H5" si="2">G4+1</f>
        <v>5</v>
      </c>
      <c r="I4" s="23">
        <f t="shared" ref="I4:I5" si="3">H4+1</f>
        <v>6</v>
      </c>
      <c r="J4" s="23">
        <f t="shared" ref="J4:J5" si="4">I4+1</f>
        <v>7</v>
      </c>
      <c r="K4" s="23">
        <f t="shared" ref="K4:K5" si="5">J4+1</f>
        <v>8</v>
      </c>
      <c r="L4" s="23">
        <f t="shared" ref="L4:L5" si="6">K4+1</f>
        <v>9</v>
      </c>
      <c r="M4" s="23">
        <f t="shared" ref="M4:M5" si="7">L4+1</f>
        <v>10</v>
      </c>
      <c r="N4" s="23">
        <f t="shared" ref="N4:N5" si="8">M4+1</f>
        <v>11</v>
      </c>
      <c r="O4" s="23">
        <f t="shared" ref="O4:O5" si="9">N4+1</f>
        <v>12</v>
      </c>
      <c r="P4" s="23">
        <f t="shared" ref="P4:P5" si="10">O4+1</f>
        <v>13</v>
      </c>
      <c r="Q4" s="23">
        <f t="shared" ref="Q4:Q5" si="11">P4+1</f>
        <v>14</v>
      </c>
      <c r="R4" s="23">
        <f t="shared" ref="R4:R5" si="12">Q4+1</f>
        <v>15</v>
      </c>
      <c r="S4" s="23">
        <f t="shared" ref="S4:S5" si="13">R4+1</f>
        <v>16</v>
      </c>
      <c r="T4" s="23">
        <f t="shared" ref="T4:T5" si="14">S4+1</f>
        <v>17</v>
      </c>
      <c r="U4" s="23">
        <f t="shared" ref="U4:U5" si="15">T4+1</f>
        <v>18</v>
      </c>
      <c r="V4" s="23">
        <f t="shared" ref="V4:V5" si="16">U4+1</f>
        <v>19</v>
      </c>
      <c r="W4" s="23">
        <f t="shared" ref="W4:W5" si="17">V4+1</f>
        <v>20</v>
      </c>
      <c r="X4" s="23">
        <f t="shared" ref="X4:X5" si="18">W4+1</f>
        <v>21</v>
      </c>
      <c r="Y4" s="23">
        <f t="shared" ref="Y4:Y5" si="19">X4+1</f>
        <v>22</v>
      </c>
      <c r="Z4" s="23">
        <f t="shared" ref="Z4:Z5" si="20">Y4+1</f>
        <v>23</v>
      </c>
      <c r="AA4" s="23">
        <f t="shared" ref="AA4:AA5" si="21">Z4+1</f>
        <v>24</v>
      </c>
      <c r="AB4" s="23">
        <f t="shared" ref="AB4:AB5" si="22">AA4+1</f>
        <v>25</v>
      </c>
      <c r="AC4" s="23">
        <f t="shared" ref="AC4:AC5" si="23">AB4+1</f>
        <v>26</v>
      </c>
      <c r="AD4" s="23">
        <f t="shared" ref="AD4:AD5" si="24">AC4+1</f>
        <v>27</v>
      </c>
      <c r="AE4" s="23">
        <f t="shared" ref="AE4:AE5" si="25">AD4+1</f>
        <v>28</v>
      </c>
      <c r="AF4" s="23">
        <f t="shared" ref="AF4:AF5" si="26">AE4+1</f>
        <v>29</v>
      </c>
      <c r="AG4" s="23">
        <f t="shared" ref="AG4:AG5" si="27">AF4+1</f>
        <v>30</v>
      </c>
      <c r="AH4" s="23">
        <f t="shared" ref="AH4:AH5" si="28">AG4+1</f>
        <v>31</v>
      </c>
      <c r="AI4" s="23">
        <f t="shared" ref="AI4:AI5" si="29">AH4+1</f>
        <v>32</v>
      </c>
      <c r="AJ4" s="23">
        <f t="shared" ref="AJ4:AJ5" si="30">AI4+1</f>
        <v>33</v>
      </c>
      <c r="AK4" s="23">
        <f t="shared" ref="AK4:AK5" si="31">AJ4+1</f>
        <v>34</v>
      </c>
      <c r="AL4" s="23">
        <f t="shared" ref="AL4:AL5" si="32">AK4+1</f>
        <v>35</v>
      </c>
      <c r="AM4" s="23">
        <f t="shared" ref="AM4:AM5" si="33">AL4+1</f>
        <v>36</v>
      </c>
      <c r="AN4" s="23">
        <f t="shared" ref="AN4:AN5" si="34">AM4+1</f>
        <v>37</v>
      </c>
      <c r="AO4" s="23">
        <f t="shared" ref="AO4:AO5" si="35">AN4+1</f>
        <v>38</v>
      </c>
      <c r="AP4" s="23">
        <f t="shared" ref="AP4:AP5" si="36">AO4+1</f>
        <v>39</v>
      </c>
      <c r="AQ4" s="23">
        <f t="shared" ref="AQ4:AQ5" si="37">AP4+1</f>
        <v>40</v>
      </c>
      <c r="AR4" s="23">
        <f t="shared" ref="AR4:AR5" si="38">AQ4+1</f>
        <v>41</v>
      </c>
      <c r="AS4" s="23">
        <f t="shared" ref="AS4:AS5" si="39">AR4+1</f>
        <v>42</v>
      </c>
      <c r="AT4" s="23">
        <f t="shared" ref="AT4:AT5" si="40">AS4+1</f>
        <v>43</v>
      </c>
      <c r="AU4" s="23">
        <f t="shared" ref="AU4:AU5" si="41">AT4+1</f>
        <v>44</v>
      </c>
      <c r="AV4" s="23">
        <f t="shared" ref="AV4:AV5" si="42">AU4+1</f>
        <v>45</v>
      </c>
      <c r="AW4" s="23">
        <f t="shared" ref="AW4:AW5" si="43">AV4+1</f>
        <v>46</v>
      </c>
      <c r="AX4" s="23">
        <f t="shared" ref="AX4:AX5" si="44">AW4+1</f>
        <v>47</v>
      </c>
      <c r="AY4" s="23">
        <f t="shared" ref="AY4:AY5" si="45">AX4+1</f>
        <v>48</v>
      </c>
      <c r="AZ4" s="23">
        <f t="shared" ref="AZ4:AZ5" si="46">AY4+1</f>
        <v>49</v>
      </c>
      <c r="BA4" s="23">
        <f t="shared" ref="BA4:BA5" si="47">AZ4+1</f>
        <v>50</v>
      </c>
    </row>
    <row r="5" spans="1:53" x14ac:dyDescent="0.2">
      <c r="A5" s="23" t="s">
        <v>286</v>
      </c>
      <c r="D5" s="23">
        <f>'Susitna rate analysis'!$R$44</f>
        <v>2024</v>
      </c>
      <c r="E5" s="23">
        <f>D5+1</f>
        <v>2025</v>
      </c>
      <c r="F5" s="23">
        <f t="shared" si="0"/>
        <v>2026</v>
      </c>
      <c r="G5" s="23">
        <f t="shared" si="1"/>
        <v>2027</v>
      </c>
      <c r="H5" s="23">
        <f t="shared" si="2"/>
        <v>2028</v>
      </c>
      <c r="I5" s="23">
        <f t="shared" si="3"/>
        <v>2029</v>
      </c>
      <c r="J5" s="23">
        <f t="shared" si="4"/>
        <v>2030</v>
      </c>
      <c r="K5" s="23">
        <f t="shared" si="5"/>
        <v>2031</v>
      </c>
      <c r="L5" s="23">
        <f t="shared" si="6"/>
        <v>2032</v>
      </c>
      <c r="M5" s="23">
        <f t="shared" si="7"/>
        <v>2033</v>
      </c>
      <c r="N5" s="23">
        <f t="shared" si="8"/>
        <v>2034</v>
      </c>
      <c r="O5" s="23">
        <f t="shared" si="9"/>
        <v>2035</v>
      </c>
      <c r="P5" s="23">
        <f t="shared" si="10"/>
        <v>2036</v>
      </c>
      <c r="Q5" s="23">
        <f t="shared" si="11"/>
        <v>2037</v>
      </c>
      <c r="R5" s="23">
        <f t="shared" si="12"/>
        <v>2038</v>
      </c>
      <c r="S5" s="23">
        <f t="shared" si="13"/>
        <v>2039</v>
      </c>
      <c r="T5" s="23">
        <f t="shared" si="14"/>
        <v>2040</v>
      </c>
      <c r="U5" s="23">
        <f t="shared" si="15"/>
        <v>2041</v>
      </c>
      <c r="V5" s="23">
        <f t="shared" si="16"/>
        <v>2042</v>
      </c>
      <c r="W5" s="23">
        <f t="shared" si="17"/>
        <v>2043</v>
      </c>
      <c r="X5" s="23">
        <f t="shared" si="18"/>
        <v>2044</v>
      </c>
      <c r="Y5" s="23">
        <f t="shared" si="19"/>
        <v>2045</v>
      </c>
      <c r="Z5" s="23">
        <f t="shared" si="20"/>
        <v>2046</v>
      </c>
      <c r="AA5" s="23">
        <f t="shared" si="21"/>
        <v>2047</v>
      </c>
      <c r="AB5" s="23">
        <f t="shared" si="22"/>
        <v>2048</v>
      </c>
      <c r="AC5" s="23">
        <f t="shared" si="23"/>
        <v>2049</v>
      </c>
      <c r="AD5" s="23">
        <f t="shared" si="24"/>
        <v>2050</v>
      </c>
      <c r="AE5" s="23">
        <f t="shared" si="25"/>
        <v>2051</v>
      </c>
      <c r="AF5" s="23">
        <f t="shared" si="26"/>
        <v>2052</v>
      </c>
      <c r="AG5" s="23">
        <f t="shared" si="27"/>
        <v>2053</v>
      </c>
      <c r="AH5" s="23">
        <f t="shared" si="28"/>
        <v>2054</v>
      </c>
      <c r="AI5" s="23">
        <f t="shared" si="29"/>
        <v>2055</v>
      </c>
      <c r="AJ5" s="23">
        <f t="shared" si="30"/>
        <v>2056</v>
      </c>
      <c r="AK5" s="23">
        <f t="shared" si="31"/>
        <v>2057</v>
      </c>
      <c r="AL5" s="23">
        <f t="shared" si="32"/>
        <v>2058</v>
      </c>
      <c r="AM5" s="23">
        <f t="shared" si="33"/>
        <v>2059</v>
      </c>
      <c r="AN5" s="23">
        <f t="shared" si="34"/>
        <v>2060</v>
      </c>
      <c r="AO5" s="23">
        <f t="shared" si="35"/>
        <v>2061</v>
      </c>
      <c r="AP5" s="23">
        <f t="shared" si="36"/>
        <v>2062</v>
      </c>
      <c r="AQ5" s="23">
        <f t="shared" si="37"/>
        <v>2063</v>
      </c>
      <c r="AR5" s="23">
        <f t="shared" si="38"/>
        <v>2064</v>
      </c>
      <c r="AS5" s="23">
        <f t="shared" si="39"/>
        <v>2065</v>
      </c>
      <c r="AT5" s="23">
        <f t="shared" si="40"/>
        <v>2066</v>
      </c>
      <c r="AU5" s="23">
        <f t="shared" si="41"/>
        <v>2067</v>
      </c>
      <c r="AV5" s="23">
        <f t="shared" si="42"/>
        <v>2068</v>
      </c>
      <c r="AW5" s="23">
        <f t="shared" si="43"/>
        <v>2069</v>
      </c>
      <c r="AX5" s="23">
        <f t="shared" si="44"/>
        <v>2070</v>
      </c>
      <c r="AY5" s="23">
        <f t="shared" si="45"/>
        <v>2071</v>
      </c>
      <c r="AZ5" s="23">
        <f t="shared" si="46"/>
        <v>2072</v>
      </c>
      <c r="BA5" s="23">
        <f t="shared" si="47"/>
        <v>2073</v>
      </c>
    </row>
    <row r="7" spans="1:53" x14ac:dyDescent="0.2">
      <c r="A7" s="23">
        <f>'Susitna rate analysis'!$E$4</f>
        <v>3</v>
      </c>
      <c r="B7" s="23" t="s">
        <v>284</v>
      </c>
      <c r="C7" s="23" t="s">
        <v>572</v>
      </c>
      <c r="D7" s="45">
        <f>'Susitna rate analysis'!R86</f>
        <v>0.10194020566369887</v>
      </c>
      <c r="E7" s="45">
        <f>'Susitna rate analysis'!S86</f>
        <v>9.9618905941451522E-2</v>
      </c>
      <c r="F7" s="45">
        <f>'Susitna rate analysis'!T86</f>
        <v>9.7354223285600464E-2</v>
      </c>
      <c r="G7" s="45">
        <f>'Susitna rate analysis'!U86</f>
        <v>9.5144776792087216E-2</v>
      </c>
      <c r="H7" s="45">
        <f>'Susitna rate analysis'!V86</f>
        <v>9.2989219237440149E-2</v>
      </c>
      <c r="I7" s="45">
        <f>'Susitna rate analysis'!W86</f>
        <v>9.0886236257296679E-2</v>
      </c>
      <c r="J7" s="45">
        <f>'Susitna rate analysis'!X86</f>
        <v>8.8834545544961577E-2</v>
      </c>
      <c r="K7" s="45">
        <f>'Susitna rate analysis'!Y86</f>
        <v>8.6832896069512708E-2</v>
      </c>
      <c r="L7" s="45">
        <f>'Susitna rate analysis'!Z86</f>
        <v>8.4880067312977231E-2</v>
      </c>
      <c r="M7" s="45">
        <f>'Susitna rate analysis'!AA86</f>
        <v>8.2974868526113341E-2</v>
      </c>
      <c r="N7" s="45">
        <f>'Susitna rate analysis'!AB86</f>
        <v>8.1116138002343699E-2</v>
      </c>
      <c r="O7" s="45">
        <f>'Susitna rate analysis'!AC86</f>
        <v>7.9302742369397689E-2</v>
      </c>
      <c r="P7" s="45">
        <f>'Susitna rate analysis'!AD86</f>
        <v>7.7533575898230858E-2</v>
      </c>
      <c r="Q7" s="45">
        <f>'Susitna rate analysis'!AE86</f>
        <v>7.5807559828799817E-2</v>
      </c>
      <c r="R7" s="45">
        <f>'Susitna rate analysis'!AF86</f>
        <v>7.412364171228171E-2</v>
      </c>
      <c r="S7" s="45">
        <f>'Susitna rate analysis'!AG86</f>
        <v>7.248079476933722E-2</v>
      </c>
      <c r="T7" s="45">
        <f>'Susitna rate analysis'!AH86</f>
        <v>7.0878017264025525E-2</v>
      </c>
      <c r="U7" s="45">
        <f>'Susitna rate analysis'!AI86</f>
        <v>6.9314331892989745E-2</v>
      </c>
      <c r="V7" s="45">
        <f>'Susitna rate analysis'!AJ86</f>
        <v>6.7788785189540166E-2</v>
      </c>
      <c r="W7" s="45">
        <f>'Susitna rate analysis'!AK86</f>
        <v>6.6300446942272287E-2</v>
      </c>
      <c r="X7" s="45">
        <f>'Susitna rate analysis'!AL86</f>
        <v>6.4848409627864631E-2</v>
      </c>
      <c r="Y7" s="45">
        <f>'Susitna rate analysis'!AM86</f>
        <v>6.3431787857710795E-2</v>
      </c>
      <c r="Z7" s="45">
        <f>'Susitna rate analysis'!AN86</f>
        <v>6.2049717838048524E-2</v>
      </c>
      <c r="AA7" s="45">
        <f>'Susitna rate analysis'!AO86</f>
        <v>6.0701356843256074E-2</v>
      </c>
      <c r="AB7" s="45">
        <f>'Susitna rate analysis'!AP86</f>
        <v>5.9385882701995137E-2</v>
      </c>
      <c r="AC7" s="45">
        <f>'Susitna rate analysis'!AQ86</f>
        <v>5.810249329588691E-2</v>
      </c>
      <c r="AD7" s="45">
        <f>'Susitna rate analysis'!AR86</f>
        <v>5.685040607041545E-2</v>
      </c>
      <c r="AE7" s="45">
        <f>'Susitna rate analysis'!AS86</f>
        <v>5.5628857557760376E-2</v>
      </c>
      <c r="AF7" s="45">
        <f>'Susitna rate analysis'!AT86</f>
        <v>5.4437102911267632E-2</v>
      </c>
      <c r="AG7" s="45">
        <f>'Susitna rate analysis'!AU86</f>
        <v>5.1520739041028399E-2</v>
      </c>
      <c r="AH7" s="45">
        <f>'Susitna rate analysis'!AV86</f>
        <v>6.7669170515574752E-3</v>
      </c>
      <c r="AI7" s="45">
        <f>'Susitna rate analysis'!AW86</f>
        <v>6.7669170515574752E-3</v>
      </c>
      <c r="AJ7" s="45">
        <f>'Susitna rate analysis'!AX86</f>
        <v>6.7669170515574752E-3</v>
      </c>
      <c r="AK7" s="45">
        <f>'Susitna rate analysis'!AY86</f>
        <v>6.7669170515574752E-3</v>
      </c>
      <c r="AL7" s="45">
        <f>'Susitna rate analysis'!AZ86</f>
        <v>6.7669170515574752E-3</v>
      </c>
      <c r="AM7" s="45">
        <f>'Susitna rate analysis'!BA86</f>
        <v>6.7669170515574752E-3</v>
      </c>
      <c r="AN7" s="45">
        <f>'Susitna rate analysis'!BB86</f>
        <v>6.7669170515574752E-3</v>
      </c>
      <c r="AO7" s="45">
        <f>'Susitna rate analysis'!BC86</f>
        <v>6.7669170515574752E-3</v>
      </c>
      <c r="AP7" s="45">
        <f>'Susitna rate analysis'!BD86</f>
        <v>6.7669170515574752E-3</v>
      </c>
      <c r="AQ7" s="45">
        <f>'Susitna rate analysis'!BE86</f>
        <v>6.7669170515574752E-3</v>
      </c>
      <c r="AR7" s="45">
        <f>'Susitna rate analysis'!BF86</f>
        <v>6.7669170515574752E-3</v>
      </c>
      <c r="AS7" s="45">
        <f>'Susitna rate analysis'!BG86</f>
        <v>6.7669170515574752E-3</v>
      </c>
      <c r="AT7" s="45">
        <f>'Susitna rate analysis'!BH86</f>
        <v>6.7669170515574752E-3</v>
      </c>
      <c r="AU7" s="45">
        <f>'Susitna rate analysis'!BI86</f>
        <v>6.7669170515574752E-3</v>
      </c>
      <c r="AV7" s="45">
        <f>'Susitna rate analysis'!BJ86</f>
        <v>6.7669170515574752E-3</v>
      </c>
      <c r="AW7" s="45">
        <f>'Susitna rate analysis'!BK86</f>
        <v>6.7669170515574752E-3</v>
      </c>
      <c r="AX7" s="45">
        <f>'Susitna rate analysis'!BL86</f>
        <v>6.7669170515574752E-3</v>
      </c>
      <c r="AY7" s="45">
        <f>'Susitna rate analysis'!BM86</f>
        <v>6.7669170515574752E-3</v>
      </c>
      <c r="AZ7" s="45">
        <f>'Susitna rate analysis'!BN86</f>
        <v>6.7669170515574752E-3</v>
      </c>
      <c r="BA7" s="45">
        <f>'Susitna rate analysis'!BO86</f>
        <v>6.7669170515574752E-3</v>
      </c>
    </row>
    <row r="8" spans="1:53" x14ac:dyDescent="0.2">
      <c r="A8" s="23">
        <f>'Susitna rate analysis'!$E$4</f>
        <v>3</v>
      </c>
      <c r="B8" s="23" t="s">
        <v>284</v>
      </c>
      <c r="C8" s="23" t="s">
        <v>573</v>
      </c>
      <c r="D8" s="45">
        <f>'Susitna rate analysis'!R88</f>
        <v>0.14994020566369887</v>
      </c>
      <c r="E8" s="45">
        <f>'Susitna rate analysis'!S88</f>
        <v>0.14761890594145152</v>
      </c>
      <c r="F8" s="45">
        <f>'Susitna rate analysis'!T88</f>
        <v>0.14535422328560046</v>
      </c>
      <c r="G8" s="45">
        <f>'Susitna rate analysis'!U88</f>
        <v>0.1431447767920872</v>
      </c>
      <c r="H8" s="45">
        <f>'Susitna rate analysis'!V88</f>
        <v>0.14098921923744015</v>
      </c>
      <c r="I8" s="45">
        <f>'Susitna rate analysis'!W88</f>
        <v>0.13888623625729668</v>
      </c>
      <c r="J8" s="45">
        <f>'Susitna rate analysis'!X88</f>
        <v>0.13683454554496158</v>
      </c>
      <c r="K8" s="45">
        <f>'Susitna rate analysis'!Y88</f>
        <v>0.13483289606951271</v>
      </c>
      <c r="L8" s="45">
        <f>'Susitna rate analysis'!Z88</f>
        <v>0.13288006731297725</v>
      </c>
      <c r="M8" s="45">
        <f>'Susitna rate analysis'!AA88</f>
        <v>0.13097486852611334</v>
      </c>
      <c r="N8" s="45">
        <f>'Susitna rate analysis'!AB88</f>
        <v>0.1291161380023437</v>
      </c>
      <c r="O8" s="45">
        <f>'Susitna rate analysis'!AC88</f>
        <v>0.1273027423693977</v>
      </c>
      <c r="P8" s="45">
        <f>'Susitna rate analysis'!AD88</f>
        <v>0.12553357589823086</v>
      </c>
      <c r="Q8" s="45">
        <f>'Susitna rate analysis'!AE88</f>
        <v>0.12380755982879982</v>
      </c>
      <c r="R8" s="45">
        <f>'Susitna rate analysis'!AF88</f>
        <v>0.12212364171228171</v>
      </c>
      <c r="S8" s="45">
        <f>'Susitna rate analysis'!AG88</f>
        <v>0.12048079476933722</v>
      </c>
      <c r="T8" s="45">
        <f>'Susitna rate analysis'!AH88</f>
        <v>0.11887801726402553</v>
      </c>
      <c r="U8" s="45">
        <f>'Susitna rate analysis'!AI88</f>
        <v>0.11731433189298975</v>
      </c>
      <c r="V8" s="45">
        <f>'Susitna rate analysis'!AJ88</f>
        <v>0.11578878518954017</v>
      </c>
      <c r="W8" s="45">
        <f>'Susitna rate analysis'!AK88</f>
        <v>0.11430044694227229</v>
      </c>
      <c r="X8" s="45">
        <f>'Susitna rate analysis'!AL88</f>
        <v>0.11284840962786463</v>
      </c>
      <c r="Y8" s="45">
        <f>'Susitna rate analysis'!AM88</f>
        <v>0.1114317878577108</v>
      </c>
      <c r="Z8" s="45">
        <f>'Susitna rate analysis'!AN88</f>
        <v>0.11004971783804852</v>
      </c>
      <c r="AA8" s="45">
        <f>'Susitna rate analysis'!AO88</f>
        <v>0.10870135684325608</v>
      </c>
      <c r="AB8" s="45">
        <f>'Susitna rate analysis'!AP88</f>
        <v>0.10738588270199514</v>
      </c>
      <c r="AC8" s="45">
        <f>'Susitna rate analysis'!AQ88</f>
        <v>0.10610249329588692</v>
      </c>
      <c r="AD8" s="45">
        <f>'Susitna rate analysis'!AR88</f>
        <v>0.10485040607041546</v>
      </c>
      <c r="AE8" s="45">
        <f>'Susitna rate analysis'!AS88</f>
        <v>0.10362885755776038</v>
      </c>
      <c r="AF8" s="45">
        <f>'Susitna rate analysis'!AT88</f>
        <v>0.10243710291126763</v>
      </c>
      <c r="AG8" s="45">
        <f>'Susitna rate analysis'!AU88</f>
        <v>9.95207390410284E-2</v>
      </c>
      <c r="AH8" s="45">
        <f>'Susitna rate analysis'!AV88</f>
        <v>5.4766917051557479E-2</v>
      </c>
      <c r="AI8" s="45">
        <f>'Susitna rate analysis'!AW88</f>
        <v>5.4766917051557479E-2</v>
      </c>
      <c r="AJ8" s="45">
        <f>'Susitna rate analysis'!AX88</f>
        <v>5.4766917051557479E-2</v>
      </c>
      <c r="AK8" s="45">
        <f>'Susitna rate analysis'!AY88</f>
        <v>5.4766917051557479E-2</v>
      </c>
      <c r="AL8" s="45">
        <f>'Susitna rate analysis'!AZ88</f>
        <v>5.4766917051557479E-2</v>
      </c>
      <c r="AM8" s="45">
        <f>'Susitna rate analysis'!BA88</f>
        <v>5.4766917051557479E-2</v>
      </c>
      <c r="AN8" s="45">
        <f>'Susitna rate analysis'!BB88</f>
        <v>5.4766917051557479E-2</v>
      </c>
      <c r="AO8" s="45">
        <f>'Susitna rate analysis'!BC88</f>
        <v>5.4766917051557479E-2</v>
      </c>
      <c r="AP8" s="45">
        <f>'Susitna rate analysis'!BD88</f>
        <v>5.4766917051557479E-2</v>
      </c>
      <c r="AQ8" s="45">
        <f>'Susitna rate analysis'!BE88</f>
        <v>5.4766917051557479E-2</v>
      </c>
      <c r="AR8" s="45">
        <f>'Susitna rate analysis'!BF88</f>
        <v>5.4766917051557479E-2</v>
      </c>
      <c r="AS8" s="45">
        <f>'Susitna rate analysis'!BG88</f>
        <v>5.4766917051557479E-2</v>
      </c>
      <c r="AT8" s="45">
        <f>'Susitna rate analysis'!BH88</f>
        <v>5.4766917051557479E-2</v>
      </c>
      <c r="AU8" s="45">
        <f>'Susitna rate analysis'!BI88</f>
        <v>5.4766917051557479E-2</v>
      </c>
      <c r="AV8" s="45">
        <f>'Susitna rate analysis'!BJ88</f>
        <v>5.4766917051557479E-2</v>
      </c>
      <c r="AW8" s="45">
        <f>'Susitna rate analysis'!BK88</f>
        <v>5.4766917051557479E-2</v>
      </c>
      <c r="AX8" s="45">
        <f>'Susitna rate analysis'!BL88</f>
        <v>5.4766917051557479E-2</v>
      </c>
      <c r="AY8" s="45">
        <f>'Susitna rate analysis'!BM88</f>
        <v>5.4766917051557479E-2</v>
      </c>
      <c r="AZ8" s="45">
        <f>'Susitna rate analysis'!BN88</f>
        <v>5.4766917051557479E-2</v>
      </c>
      <c r="BA8" s="45">
        <f>'Susitna rate analysis'!BO88</f>
        <v>5.4766917051557479E-2</v>
      </c>
    </row>
    <row r="9" spans="1:53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</row>
    <row r="10" spans="1:53" x14ac:dyDescent="0.2">
      <c r="A10" s="23">
        <f>'Susitna rate analysis'!$E$178</f>
        <v>2</v>
      </c>
      <c r="B10" s="23" t="s">
        <v>285</v>
      </c>
      <c r="C10" s="23" t="s">
        <v>572</v>
      </c>
      <c r="D10" s="45">
        <f>'Susitna rate analysis'!R267</f>
        <v>0.20717470002689267</v>
      </c>
      <c r="E10" s="45">
        <f>'Susitna rate analysis'!S267</f>
        <v>0.20905041792844503</v>
      </c>
      <c r="F10" s="45">
        <f>'Susitna rate analysis'!T267</f>
        <v>0.21102401013021616</v>
      </c>
      <c r="G10" s="45">
        <f>'Susitna rate analysis'!U267</f>
        <v>0.21308295473014699</v>
      </c>
      <c r="H10" s="45">
        <f>'Susitna rate analysis'!V267</f>
        <v>0.21523848988540684</v>
      </c>
      <c r="I10" s="45">
        <f>'Susitna rate analysis'!W267</f>
        <v>0.21747812500478744</v>
      </c>
      <c r="J10" s="45">
        <f>'Susitna rate analysis'!X267</f>
        <v>0.21981312879262987</v>
      </c>
      <c r="K10" s="45">
        <f>'Susitna rate analysis'!Y267</f>
        <v>0.22224291256510775</v>
      </c>
      <c r="L10" s="45">
        <f>'Susitna rate analysis'!Z267</f>
        <v>0.22477877410179986</v>
      </c>
      <c r="M10" s="45">
        <f>'Susitna rate analysis'!AA267</f>
        <v>0.22739640887443915</v>
      </c>
      <c r="N10" s="45">
        <f>'Susitna rate analysis'!AB267</f>
        <v>0.23033271233683442</v>
      </c>
      <c r="O10" s="45">
        <f>'Susitna rate analysis'!AC267</f>
        <v>0.23338532538101969</v>
      </c>
      <c r="P10" s="45">
        <f>'Susitna rate analysis'!AD267</f>
        <v>0.2365418555910079</v>
      </c>
      <c r="Q10" s="45">
        <f>'Susitna rate analysis'!AE267</f>
        <v>0.23980179534658061</v>
      </c>
      <c r="R10" s="45">
        <f>'Susitna rate analysis'!AF267</f>
        <v>0.24317652151376312</v>
      </c>
      <c r="S10" s="45">
        <f>'Susitna rate analysis'!AG267</f>
        <v>0.24667742303758683</v>
      </c>
      <c r="T10" s="45">
        <f>'Susitna rate analysis'!AH267</f>
        <v>0.2502802843316897</v>
      </c>
      <c r="U10" s="45">
        <f>'Susitna rate analysis'!AI267</f>
        <v>0.24954447814878605</v>
      </c>
      <c r="V10" s="45">
        <f>'Susitna rate analysis'!AJ267</f>
        <v>0.24882661845814844</v>
      </c>
      <c r="W10" s="45">
        <f>'Susitna rate analysis'!AK267</f>
        <v>0.24812626754045319</v>
      </c>
      <c r="X10" s="45">
        <f>'Susitna rate analysis'!AL267</f>
        <v>0.24744299835245781</v>
      </c>
      <c r="Y10" s="45">
        <f>'Susitna rate analysis'!AM267</f>
        <v>0.22517345250984841</v>
      </c>
      <c r="Z10" s="45">
        <f>'Susitna rate analysis'!AN267</f>
        <v>0.22011223083264286</v>
      </c>
      <c r="AA10" s="45">
        <f>'Susitna rate analysis'!AO267</f>
        <v>0.22011223083264286</v>
      </c>
      <c r="AB10" s="45">
        <f>'Susitna rate analysis'!AP267</f>
        <v>0.22011223083264286</v>
      </c>
      <c r="AC10" s="45">
        <f>'Susitna rate analysis'!AQ267</f>
        <v>0.22011223083264286</v>
      </c>
      <c r="AD10" s="45">
        <f>'Susitna rate analysis'!AR267</f>
        <v>0.22011223083264286</v>
      </c>
      <c r="AE10" s="45">
        <f>'Susitna rate analysis'!AS267</f>
        <v>0.22011223083264286</v>
      </c>
      <c r="AF10" s="45">
        <f>'Susitna rate analysis'!AT267</f>
        <v>0.22011223083264286</v>
      </c>
      <c r="AG10" s="45">
        <f>'Susitna rate analysis'!AU267</f>
        <v>0.22011223083264286</v>
      </c>
      <c r="AH10" s="45">
        <f>'Susitna rate analysis'!AV267</f>
        <v>0</v>
      </c>
      <c r="AI10" s="45">
        <f>'Susitna rate analysis'!AW267</f>
        <v>0</v>
      </c>
      <c r="AJ10" s="45">
        <f>'Susitna rate analysis'!AX267</f>
        <v>0</v>
      </c>
      <c r="AK10" s="45">
        <f>'Susitna rate analysis'!AY267</f>
        <v>0</v>
      </c>
      <c r="AL10" s="45">
        <f>'Susitna rate analysis'!AZ267</f>
        <v>0</v>
      </c>
      <c r="AM10" s="45">
        <f>'Susitna rate analysis'!BA267</f>
        <v>0</v>
      </c>
      <c r="AN10" s="45">
        <f>'Susitna rate analysis'!BB267</f>
        <v>0</v>
      </c>
      <c r="AO10" s="45">
        <f>'Susitna rate analysis'!BC267</f>
        <v>0</v>
      </c>
      <c r="AP10" s="45">
        <f>'Susitna rate analysis'!BD267</f>
        <v>0</v>
      </c>
      <c r="AQ10" s="45">
        <f>'Susitna rate analysis'!BE267</f>
        <v>0</v>
      </c>
      <c r="AR10" s="45">
        <f>'Susitna rate analysis'!BF267</f>
        <v>0</v>
      </c>
      <c r="AS10" s="45">
        <f>'Susitna rate analysis'!BG267</f>
        <v>0</v>
      </c>
      <c r="AT10" s="45">
        <f>'Susitna rate analysis'!BH267</f>
        <v>0</v>
      </c>
      <c r="AU10" s="45">
        <f>'Susitna rate analysis'!BI267</f>
        <v>0</v>
      </c>
      <c r="AV10" s="45">
        <f>'Susitna rate analysis'!BJ267</f>
        <v>0</v>
      </c>
      <c r="AW10" s="45">
        <f>'Susitna rate analysis'!BK267</f>
        <v>0</v>
      </c>
      <c r="AX10" s="45">
        <f>'Susitna rate analysis'!BL267</f>
        <v>0</v>
      </c>
      <c r="AY10" s="45">
        <f>'Susitna rate analysis'!BM267</f>
        <v>0</v>
      </c>
      <c r="AZ10" s="45">
        <f>'Susitna rate analysis'!BN267</f>
        <v>0</v>
      </c>
      <c r="BA10" s="45">
        <f>'Susitna rate analysis'!BO267</f>
        <v>0</v>
      </c>
    </row>
    <row r="11" spans="1:53" x14ac:dyDescent="0.2">
      <c r="A11" s="23">
        <f>'Susitna rate analysis'!$E$178</f>
        <v>2</v>
      </c>
      <c r="B11" s="23" t="s">
        <v>285</v>
      </c>
      <c r="C11" s="23" t="s">
        <v>573</v>
      </c>
      <c r="D11" s="45">
        <f>'Susitna rate analysis'!R269</f>
        <v>0.25517470002689269</v>
      </c>
      <c r="E11" s="45">
        <f>'Susitna rate analysis'!S269</f>
        <v>0.25705041792844502</v>
      </c>
      <c r="F11" s="45">
        <f>'Susitna rate analysis'!T269</f>
        <v>0.25902401013021614</v>
      </c>
      <c r="G11" s="45">
        <f>'Susitna rate analysis'!U269</f>
        <v>0.26108295473014698</v>
      </c>
      <c r="H11" s="45">
        <f>'Susitna rate analysis'!V269</f>
        <v>0.26323848988540682</v>
      </c>
      <c r="I11" s="45">
        <f>'Susitna rate analysis'!W269</f>
        <v>0.26547812500478746</v>
      </c>
      <c r="J11" s="45">
        <f>'Susitna rate analysis'!X269</f>
        <v>0.26781312879262986</v>
      </c>
      <c r="K11" s="45">
        <f>'Susitna rate analysis'!Y269</f>
        <v>0.27024291256510774</v>
      </c>
      <c r="L11" s="45">
        <f>'Susitna rate analysis'!Z269</f>
        <v>0.27277877410179985</v>
      </c>
      <c r="M11" s="45">
        <f>'Susitna rate analysis'!AA269</f>
        <v>0.27539640887443917</v>
      </c>
      <c r="N11" s="45">
        <f>'Susitna rate analysis'!AB269</f>
        <v>0.27833271233683443</v>
      </c>
      <c r="O11" s="45">
        <f>'Susitna rate analysis'!AC269</f>
        <v>0.28138532538101968</v>
      </c>
      <c r="P11" s="45">
        <f>'Susitna rate analysis'!AD269</f>
        <v>0.28454185559100792</v>
      </c>
      <c r="Q11" s="45">
        <f>'Susitna rate analysis'!AE269</f>
        <v>0.28780179534658062</v>
      </c>
      <c r="R11" s="45">
        <f>'Susitna rate analysis'!AF269</f>
        <v>0.29117652151376311</v>
      </c>
      <c r="S11" s="45">
        <f>'Susitna rate analysis'!AG269</f>
        <v>0.29467742303758682</v>
      </c>
      <c r="T11" s="45">
        <f>'Susitna rate analysis'!AH269</f>
        <v>0.29828028433168968</v>
      </c>
      <c r="U11" s="45">
        <f>'Susitna rate analysis'!AI269</f>
        <v>0.29754447814878604</v>
      </c>
      <c r="V11" s="45">
        <f>'Susitna rate analysis'!AJ269</f>
        <v>0.29682661845814845</v>
      </c>
      <c r="W11" s="45">
        <f>'Susitna rate analysis'!AK269</f>
        <v>0.29612626754045318</v>
      </c>
      <c r="X11" s="45">
        <f>'Susitna rate analysis'!AL269</f>
        <v>0.2954429983524578</v>
      </c>
      <c r="Y11" s="45">
        <f>'Susitna rate analysis'!AM269</f>
        <v>0.27317345250984842</v>
      </c>
      <c r="Z11" s="45">
        <f>'Susitna rate analysis'!AN269</f>
        <v>0.26811223083264285</v>
      </c>
      <c r="AA11" s="45">
        <f>'Susitna rate analysis'!AO269</f>
        <v>0.26811223083264285</v>
      </c>
      <c r="AB11" s="45">
        <f>'Susitna rate analysis'!AP269</f>
        <v>0.26811223083264285</v>
      </c>
      <c r="AC11" s="45">
        <f>'Susitna rate analysis'!AQ269</f>
        <v>0.26811223083264285</v>
      </c>
      <c r="AD11" s="45">
        <f>'Susitna rate analysis'!AR269</f>
        <v>0.26811223083264285</v>
      </c>
      <c r="AE11" s="45">
        <f>'Susitna rate analysis'!AS269</f>
        <v>0.26811223083264285</v>
      </c>
      <c r="AF11" s="45">
        <f>'Susitna rate analysis'!AT269</f>
        <v>0.26811223083264285</v>
      </c>
      <c r="AG11" s="45">
        <f>'Susitna rate analysis'!AU269</f>
        <v>0.26811223083264285</v>
      </c>
      <c r="AH11" s="45">
        <f>'Susitna rate analysis'!AV269</f>
        <v>0</v>
      </c>
      <c r="AI11" s="45">
        <f>'Susitna rate analysis'!AW269</f>
        <v>0</v>
      </c>
      <c r="AJ11" s="45">
        <f>'Susitna rate analysis'!AX269</f>
        <v>0</v>
      </c>
      <c r="AK11" s="45">
        <f>'Susitna rate analysis'!AY269</f>
        <v>0</v>
      </c>
      <c r="AL11" s="45">
        <f>'Susitna rate analysis'!AZ269</f>
        <v>0</v>
      </c>
      <c r="AM11" s="45">
        <f>'Susitna rate analysis'!BA269</f>
        <v>0</v>
      </c>
      <c r="AN11" s="45">
        <f>'Susitna rate analysis'!BB269</f>
        <v>0</v>
      </c>
      <c r="AO11" s="45">
        <f>'Susitna rate analysis'!BC269</f>
        <v>0</v>
      </c>
      <c r="AP11" s="45">
        <f>'Susitna rate analysis'!BD269</f>
        <v>0</v>
      </c>
      <c r="AQ11" s="45">
        <f>'Susitna rate analysis'!BE269</f>
        <v>0</v>
      </c>
      <c r="AR11" s="45">
        <f>'Susitna rate analysis'!BF269</f>
        <v>0</v>
      </c>
      <c r="AS11" s="45">
        <f>'Susitna rate analysis'!BG269</f>
        <v>0</v>
      </c>
      <c r="AT11" s="45">
        <f>'Susitna rate analysis'!BH269</f>
        <v>0</v>
      </c>
      <c r="AU11" s="45">
        <f>'Susitna rate analysis'!BI269</f>
        <v>0</v>
      </c>
      <c r="AV11" s="45">
        <f>'Susitna rate analysis'!BJ269</f>
        <v>0</v>
      </c>
      <c r="AW11" s="45">
        <f>'Susitna rate analysis'!BK269</f>
        <v>0</v>
      </c>
      <c r="AX11" s="45">
        <f>'Susitna rate analysis'!BL269</f>
        <v>0</v>
      </c>
      <c r="AY11" s="45">
        <f>'Susitna rate analysis'!BM269</f>
        <v>0</v>
      </c>
      <c r="AZ11" s="45">
        <f>'Susitna rate analysis'!BN269</f>
        <v>0</v>
      </c>
      <c r="BA11" s="45">
        <f>'Susitna rate analysis'!BO269</f>
        <v>0</v>
      </c>
    </row>
    <row r="13" spans="1:53" x14ac:dyDescent="0.2">
      <c r="B13" s="28" t="s">
        <v>574</v>
      </c>
    </row>
    <row r="14" spans="1:53" x14ac:dyDescent="0.2">
      <c r="D14" s="23">
        <v>1</v>
      </c>
      <c r="E14" s="23">
        <f>D14+1</f>
        <v>2</v>
      </c>
      <c r="F14" s="23">
        <f t="shared" ref="F14:AH14" si="48">E14+1</f>
        <v>3</v>
      </c>
      <c r="G14" s="23">
        <f t="shared" si="48"/>
        <v>4</v>
      </c>
      <c r="H14" s="23">
        <f t="shared" si="48"/>
        <v>5</v>
      </c>
      <c r="I14" s="23">
        <f t="shared" si="48"/>
        <v>6</v>
      </c>
      <c r="J14" s="23">
        <f t="shared" si="48"/>
        <v>7</v>
      </c>
      <c r="K14" s="23">
        <f t="shared" si="48"/>
        <v>8</v>
      </c>
      <c r="L14" s="23">
        <f t="shared" si="48"/>
        <v>9</v>
      </c>
      <c r="M14" s="23">
        <f t="shared" si="48"/>
        <v>10</v>
      </c>
      <c r="N14" s="23">
        <f t="shared" si="48"/>
        <v>11</v>
      </c>
      <c r="O14" s="23">
        <f t="shared" si="48"/>
        <v>12</v>
      </c>
      <c r="P14" s="23">
        <f t="shared" si="48"/>
        <v>13</v>
      </c>
      <c r="Q14" s="23">
        <f t="shared" si="48"/>
        <v>14</v>
      </c>
      <c r="R14" s="23">
        <f t="shared" si="48"/>
        <v>15</v>
      </c>
      <c r="S14" s="23">
        <f t="shared" si="48"/>
        <v>16</v>
      </c>
      <c r="T14" s="23">
        <f t="shared" si="48"/>
        <v>17</v>
      </c>
      <c r="U14" s="23">
        <f t="shared" si="48"/>
        <v>18</v>
      </c>
      <c r="V14" s="23">
        <f t="shared" si="48"/>
        <v>19</v>
      </c>
      <c r="W14" s="23">
        <f t="shared" si="48"/>
        <v>20</v>
      </c>
      <c r="X14" s="23">
        <f t="shared" si="48"/>
        <v>21</v>
      </c>
      <c r="Y14" s="23">
        <f t="shared" si="48"/>
        <v>22</v>
      </c>
      <c r="Z14" s="23">
        <f t="shared" si="48"/>
        <v>23</v>
      </c>
      <c r="AA14" s="23">
        <f t="shared" si="48"/>
        <v>24</v>
      </c>
      <c r="AB14" s="23">
        <f t="shared" si="48"/>
        <v>25</v>
      </c>
      <c r="AC14" s="23">
        <f t="shared" si="48"/>
        <v>26</v>
      </c>
      <c r="AD14" s="23">
        <f t="shared" si="48"/>
        <v>27</v>
      </c>
      <c r="AE14" s="23">
        <f t="shared" si="48"/>
        <v>28</v>
      </c>
      <c r="AF14" s="23">
        <f t="shared" si="48"/>
        <v>29</v>
      </c>
      <c r="AG14" s="23">
        <f t="shared" si="48"/>
        <v>30</v>
      </c>
      <c r="AH14" s="23">
        <f t="shared" si="48"/>
        <v>31</v>
      </c>
      <c r="AI14" s="23">
        <f t="shared" ref="AI14:AI15" si="49">AH14+1</f>
        <v>32</v>
      </c>
      <c r="AJ14" s="23">
        <f t="shared" ref="AJ14:AJ15" si="50">AI14+1</f>
        <v>33</v>
      </c>
      <c r="AK14" s="23">
        <f t="shared" ref="AK14:AK15" si="51">AJ14+1</f>
        <v>34</v>
      </c>
      <c r="AL14" s="23">
        <f t="shared" ref="AL14:AL15" si="52">AK14+1</f>
        <v>35</v>
      </c>
      <c r="AM14" s="23">
        <f t="shared" ref="AM14:AM15" si="53">AL14+1</f>
        <v>36</v>
      </c>
      <c r="AN14" s="23">
        <f t="shared" ref="AN14:AN15" si="54">AM14+1</f>
        <v>37</v>
      </c>
      <c r="AO14" s="23">
        <f t="shared" ref="AO14:AO15" si="55">AN14+1</f>
        <v>38</v>
      </c>
      <c r="AP14" s="23">
        <f t="shared" ref="AP14:AP15" si="56">AO14+1</f>
        <v>39</v>
      </c>
      <c r="AQ14" s="23">
        <f t="shared" ref="AQ14:AQ15" si="57">AP14+1</f>
        <v>40</v>
      </c>
      <c r="AR14" s="23">
        <f t="shared" ref="AR14:AR15" si="58">AQ14+1</f>
        <v>41</v>
      </c>
      <c r="AS14" s="23">
        <f t="shared" ref="AS14:AS15" si="59">AR14+1</f>
        <v>42</v>
      </c>
      <c r="AT14" s="23">
        <f t="shared" ref="AT14:AT15" si="60">AS14+1</f>
        <v>43</v>
      </c>
      <c r="AU14" s="23">
        <f t="shared" ref="AU14:AU15" si="61">AT14+1</f>
        <v>44</v>
      </c>
      <c r="AV14" s="23">
        <f t="shared" ref="AV14:AV15" si="62">AU14+1</f>
        <v>45</v>
      </c>
      <c r="AW14" s="23">
        <f t="shared" ref="AW14:AW15" si="63">AV14+1</f>
        <v>46</v>
      </c>
      <c r="AX14" s="23">
        <f t="shared" ref="AX14:AX15" si="64">AW14+1</f>
        <v>47</v>
      </c>
      <c r="AY14" s="23">
        <f t="shared" ref="AY14:AY15" si="65">AX14+1</f>
        <v>48</v>
      </c>
      <c r="AZ14" s="23">
        <f t="shared" ref="AZ14:BA15" si="66">AY14+1</f>
        <v>49</v>
      </c>
      <c r="BA14" s="23">
        <f t="shared" si="66"/>
        <v>50</v>
      </c>
    </row>
    <row r="15" spans="1:53" x14ac:dyDescent="0.2">
      <c r="D15" s="23">
        <f>'Susitna rate analysis'!$R$44</f>
        <v>2024</v>
      </c>
      <c r="E15" s="23">
        <f>D15+1</f>
        <v>2025</v>
      </c>
      <c r="F15" s="23">
        <f t="shared" ref="F15:AH15" si="67">E15+1</f>
        <v>2026</v>
      </c>
      <c r="G15" s="23">
        <f t="shared" si="67"/>
        <v>2027</v>
      </c>
      <c r="H15" s="23">
        <f t="shared" si="67"/>
        <v>2028</v>
      </c>
      <c r="I15" s="23">
        <f t="shared" si="67"/>
        <v>2029</v>
      </c>
      <c r="J15" s="23">
        <f t="shared" si="67"/>
        <v>2030</v>
      </c>
      <c r="K15" s="23">
        <f t="shared" si="67"/>
        <v>2031</v>
      </c>
      <c r="L15" s="23">
        <f t="shared" si="67"/>
        <v>2032</v>
      </c>
      <c r="M15" s="23">
        <f t="shared" si="67"/>
        <v>2033</v>
      </c>
      <c r="N15" s="23">
        <f t="shared" si="67"/>
        <v>2034</v>
      </c>
      <c r="O15" s="23">
        <f t="shared" si="67"/>
        <v>2035</v>
      </c>
      <c r="P15" s="23">
        <f t="shared" si="67"/>
        <v>2036</v>
      </c>
      <c r="Q15" s="23">
        <f t="shared" si="67"/>
        <v>2037</v>
      </c>
      <c r="R15" s="23">
        <f t="shared" si="67"/>
        <v>2038</v>
      </c>
      <c r="S15" s="23">
        <f t="shared" si="67"/>
        <v>2039</v>
      </c>
      <c r="T15" s="23">
        <f t="shared" si="67"/>
        <v>2040</v>
      </c>
      <c r="U15" s="23">
        <f t="shared" si="67"/>
        <v>2041</v>
      </c>
      <c r="V15" s="23">
        <f t="shared" si="67"/>
        <v>2042</v>
      </c>
      <c r="W15" s="23">
        <f t="shared" si="67"/>
        <v>2043</v>
      </c>
      <c r="X15" s="23">
        <f t="shared" si="67"/>
        <v>2044</v>
      </c>
      <c r="Y15" s="23">
        <f t="shared" si="67"/>
        <v>2045</v>
      </c>
      <c r="Z15" s="23">
        <f t="shared" si="67"/>
        <v>2046</v>
      </c>
      <c r="AA15" s="23">
        <f t="shared" si="67"/>
        <v>2047</v>
      </c>
      <c r="AB15" s="23">
        <f t="shared" si="67"/>
        <v>2048</v>
      </c>
      <c r="AC15" s="23">
        <f t="shared" si="67"/>
        <v>2049</v>
      </c>
      <c r="AD15" s="23">
        <f t="shared" si="67"/>
        <v>2050</v>
      </c>
      <c r="AE15" s="23">
        <f t="shared" si="67"/>
        <v>2051</v>
      </c>
      <c r="AF15" s="23">
        <f t="shared" si="67"/>
        <v>2052</v>
      </c>
      <c r="AG15" s="23">
        <f t="shared" si="67"/>
        <v>2053</v>
      </c>
      <c r="AH15" s="23">
        <f t="shared" si="67"/>
        <v>2054</v>
      </c>
      <c r="AI15" s="23">
        <f t="shared" si="49"/>
        <v>2055</v>
      </c>
      <c r="AJ15" s="23">
        <f t="shared" si="50"/>
        <v>2056</v>
      </c>
      <c r="AK15" s="23">
        <f t="shared" si="51"/>
        <v>2057</v>
      </c>
      <c r="AL15" s="23">
        <f t="shared" si="52"/>
        <v>2058</v>
      </c>
      <c r="AM15" s="23">
        <f t="shared" si="53"/>
        <v>2059</v>
      </c>
      <c r="AN15" s="23">
        <f t="shared" si="54"/>
        <v>2060</v>
      </c>
      <c r="AO15" s="23">
        <f t="shared" si="55"/>
        <v>2061</v>
      </c>
      <c r="AP15" s="23">
        <f t="shared" si="56"/>
        <v>2062</v>
      </c>
      <c r="AQ15" s="23">
        <f t="shared" si="57"/>
        <v>2063</v>
      </c>
      <c r="AR15" s="23">
        <f t="shared" si="58"/>
        <v>2064</v>
      </c>
      <c r="AS15" s="23">
        <f t="shared" si="59"/>
        <v>2065</v>
      </c>
      <c r="AT15" s="23">
        <f t="shared" si="60"/>
        <v>2066</v>
      </c>
      <c r="AU15" s="23">
        <f t="shared" si="61"/>
        <v>2067</v>
      </c>
      <c r="AV15" s="23">
        <f t="shared" si="62"/>
        <v>2068</v>
      </c>
      <c r="AW15" s="23">
        <f t="shared" si="63"/>
        <v>2069</v>
      </c>
      <c r="AX15" s="23">
        <f t="shared" si="64"/>
        <v>2070</v>
      </c>
      <c r="AY15" s="23">
        <f t="shared" si="65"/>
        <v>2071</v>
      </c>
      <c r="AZ15" s="23">
        <f t="shared" si="66"/>
        <v>2072</v>
      </c>
      <c r="BA15" s="23">
        <f t="shared" si="66"/>
        <v>2073</v>
      </c>
    </row>
    <row r="17" spans="1:53" x14ac:dyDescent="0.2">
      <c r="A17" s="23">
        <v>1</v>
      </c>
      <c r="B17" s="23" t="s">
        <v>284</v>
      </c>
      <c r="C17" s="246" t="s">
        <v>575</v>
      </c>
      <c r="D17" s="248">
        <v>0.13200731368884877</v>
      </c>
      <c r="E17" s="249">
        <v>0.12895266987432155</v>
      </c>
      <c r="F17" s="249">
        <v>0.12597252956746577</v>
      </c>
      <c r="G17" s="249">
        <v>0.12306507560955768</v>
      </c>
      <c r="H17" s="249">
        <v>0.12022853516281805</v>
      </c>
      <c r="I17" s="249">
        <v>0.11746117862941353</v>
      </c>
      <c r="J17" s="249">
        <v>0.1147613185968238</v>
      </c>
      <c r="K17" s="249">
        <v>0.11212730880893135</v>
      </c>
      <c r="L17" s="249">
        <v>0.10955754316220702</v>
      </c>
      <c r="M17" s="249">
        <v>0.10705045472637839</v>
      </c>
      <c r="N17" s="249">
        <v>0.10460451478898462</v>
      </c>
      <c r="O17" s="249">
        <v>0.10221823192323458</v>
      </c>
      <c r="P17" s="249">
        <v>9.98901510786004E-2</v>
      </c>
      <c r="Q17" s="249">
        <v>9.7618852693591454E-2</v>
      </c>
      <c r="R17" s="249">
        <v>9.5402951830168073E-2</v>
      </c>
      <c r="S17" s="249">
        <v>9.3241097329267247E-2</v>
      </c>
      <c r="T17" s="249">
        <v>9.1131970986924937E-2</v>
      </c>
      <c r="U17" s="249">
        <v>8.9074286750493448E-2</v>
      </c>
      <c r="V17" s="249">
        <v>8.7066789934462707E-2</v>
      </c>
      <c r="W17" s="249">
        <v>8.5108256455408343E-2</v>
      </c>
      <c r="X17" s="249">
        <v>8.3197492085599192E-2</v>
      </c>
      <c r="Y17" s="249">
        <v>8.1333331724809776E-2</v>
      </c>
      <c r="Z17" s="249">
        <v>7.9514638689893294E-2</v>
      </c>
      <c r="AA17" s="249">
        <v>7.7740304021682069E-2</v>
      </c>
      <c r="AB17" s="249">
        <v>7.6009245808793077E-2</v>
      </c>
      <c r="AC17" s="249">
        <v>7.4320408527925763E-2</v>
      </c>
      <c r="AD17" s="249">
        <v>7.2672762400250335E-2</v>
      </c>
      <c r="AE17" s="249">
        <v>7.1065302763493821E-2</v>
      </c>
      <c r="AF17" s="249">
        <v>6.9497049459341126E-2</v>
      </c>
      <c r="AG17" s="249">
        <v>6.513763666839309E-2</v>
      </c>
      <c r="AH17" s="249">
        <v>6.7669172932330827E-3</v>
      </c>
      <c r="AI17" s="249">
        <v>6.7669172932330827E-3</v>
      </c>
      <c r="AJ17" s="249">
        <v>6.7669172932330827E-3</v>
      </c>
      <c r="AK17" s="249">
        <v>6.7669172932330827E-3</v>
      </c>
      <c r="AL17" s="249">
        <v>6.7669172932330827E-3</v>
      </c>
      <c r="AM17" s="249">
        <v>6.7669172932330827E-3</v>
      </c>
      <c r="AN17" s="249">
        <v>6.7669172932330827E-3</v>
      </c>
      <c r="AO17" s="249">
        <v>6.7669172932330827E-3</v>
      </c>
      <c r="AP17" s="249">
        <v>6.7669172932330827E-3</v>
      </c>
      <c r="AQ17" s="249">
        <v>6.7669172932330827E-3</v>
      </c>
      <c r="AR17" s="249">
        <v>6.7669172932330827E-3</v>
      </c>
      <c r="AS17" s="249">
        <v>6.7669172932330827E-3</v>
      </c>
      <c r="AT17" s="249">
        <v>6.7669172932330827E-3</v>
      </c>
      <c r="AU17" s="249">
        <v>6.7669172932330827E-3</v>
      </c>
      <c r="AV17" s="249">
        <v>6.7669172932330827E-3</v>
      </c>
      <c r="AW17" s="249">
        <v>6.7669172932330827E-3</v>
      </c>
      <c r="AX17" s="249">
        <v>6.7669172932330827E-3</v>
      </c>
      <c r="AY17" s="249">
        <v>6.7669172932330827E-3</v>
      </c>
      <c r="AZ17" s="249">
        <v>6.7669172932330827E-3</v>
      </c>
      <c r="BA17" s="250">
        <v>6.7669172932330827E-3</v>
      </c>
    </row>
    <row r="18" spans="1:53" x14ac:dyDescent="0.2">
      <c r="A18" s="23">
        <v>1</v>
      </c>
      <c r="B18" s="23" t="s">
        <v>284</v>
      </c>
      <c r="C18" s="247" t="s">
        <v>576</v>
      </c>
      <c r="D18" s="251">
        <v>0.18000731368884876</v>
      </c>
      <c r="E18" s="252">
        <v>0.17695266987432157</v>
      </c>
      <c r="F18" s="252">
        <v>0.17397252956746578</v>
      </c>
      <c r="G18" s="252">
        <v>0.17106507560955769</v>
      </c>
      <c r="H18" s="252">
        <v>0.16822853516281805</v>
      </c>
      <c r="I18" s="252">
        <v>0.16546117862941354</v>
      </c>
      <c r="J18" s="252">
        <v>0.1627613185968238</v>
      </c>
      <c r="K18" s="252">
        <v>0.16012730880893133</v>
      </c>
      <c r="L18" s="252">
        <v>0.15755754316220702</v>
      </c>
      <c r="M18" s="252">
        <v>0.15505045472637841</v>
      </c>
      <c r="N18" s="252">
        <v>0.15260451478898462</v>
      </c>
      <c r="O18" s="252">
        <v>0.15021823192323458</v>
      </c>
      <c r="P18" s="252">
        <v>0.1478901510786004</v>
      </c>
      <c r="Q18" s="252">
        <v>0.14561885269359146</v>
      </c>
      <c r="R18" s="252">
        <v>0.14340295183016807</v>
      </c>
      <c r="S18" s="252">
        <v>0.14124109732926726</v>
      </c>
      <c r="T18" s="252">
        <v>0.13913197098692492</v>
      </c>
      <c r="U18" s="252">
        <v>0.13707428675049343</v>
      </c>
      <c r="V18" s="252">
        <v>0.13506678993446269</v>
      </c>
      <c r="W18" s="252">
        <v>0.13310825645540836</v>
      </c>
      <c r="X18" s="252">
        <v>0.13119749208559919</v>
      </c>
      <c r="Y18" s="252">
        <v>0.12933333172480976</v>
      </c>
      <c r="Z18" s="252">
        <v>0.12751463868989329</v>
      </c>
      <c r="AA18" s="252">
        <v>0.12574030402168207</v>
      </c>
      <c r="AB18" s="252">
        <v>0.12400924580879308</v>
      </c>
      <c r="AC18" s="252">
        <v>0.12232040852792576</v>
      </c>
      <c r="AD18" s="252">
        <v>0.12067276240025034</v>
      </c>
      <c r="AE18" s="252">
        <v>0.11906530276349382</v>
      </c>
      <c r="AF18" s="252">
        <v>0.11749704945934113</v>
      </c>
      <c r="AG18" s="252">
        <v>0.11313763666839309</v>
      </c>
      <c r="AH18" s="252">
        <v>5.4766917293233082E-2</v>
      </c>
      <c r="AI18" s="252">
        <v>5.4766917293233082E-2</v>
      </c>
      <c r="AJ18" s="252">
        <v>5.4766917293233082E-2</v>
      </c>
      <c r="AK18" s="252">
        <v>5.4766917293233082E-2</v>
      </c>
      <c r="AL18" s="252">
        <v>5.4766917293233082E-2</v>
      </c>
      <c r="AM18" s="252">
        <v>5.4766917293233082E-2</v>
      </c>
      <c r="AN18" s="252">
        <v>5.4766917293233082E-2</v>
      </c>
      <c r="AO18" s="252">
        <v>5.4766917293233082E-2</v>
      </c>
      <c r="AP18" s="252">
        <v>5.4766917293233082E-2</v>
      </c>
      <c r="AQ18" s="252">
        <v>5.4766917293233082E-2</v>
      </c>
      <c r="AR18" s="252">
        <v>5.4766917293233082E-2</v>
      </c>
      <c r="AS18" s="252">
        <v>5.4766917293233082E-2</v>
      </c>
      <c r="AT18" s="252">
        <v>5.4766917293233082E-2</v>
      </c>
      <c r="AU18" s="252">
        <v>5.4766917293233082E-2</v>
      </c>
      <c r="AV18" s="252">
        <v>5.4766917293233082E-2</v>
      </c>
      <c r="AW18" s="252">
        <v>5.4766917293233082E-2</v>
      </c>
      <c r="AX18" s="252">
        <v>5.4766917293233082E-2</v>
      </c>
      <c r="AY18" s="252">
        <v>5.4766917293233082E-2</v>
      </c>
      <c r="AZ18" s="252">
        <v>5.4766917293233082E-2</v>
      </c>
      <c r="BA18" s="253">
        <v>5.4766917293233082E-2</v>
      </c>
    </row>
    <row r="36" spans="3:53" x14ac:dyDescent="0.2">
      <c r="C36" s="246" t="s">
        <v>278</v>
      </c>
      <c r="D36" s="248">
        <v>0.13200731368884877</v>
      </c>
      <c r="E36" s="249">
        <v>0.12895266987432155</v>
      </c>
      <c r="F36" s="249">
        <v>0.12597252956746577</v>
      </c>
      <c r="G36" s="249">
        <v>0.12306507560955768</v>
      </c>
      <c r="H36" s="249">
        <v>0.12022853516281805</v>
      </c>
      <c r="I36" s="249">
        <v>0.11746117862941353</v>
      </c>
      <c r="J36" s="249">
        <v>0.1147613185968238</v>
      </c>
      <c r="K36" s="249">
        <v>0.11212730880893135</v>
      </c>
      <c r="L36" s="249">
        <v>0.10955754316220702</v>
      </c>
      <c r="M36" s="249">
        <v>0.10705045472637839</v>
      </c>
      <c r="N36" s="249">
        <v>0.10460451478898462</v>
      </c>
      <c r="O36" s="249">
        <v>0.10221823192323458</v>
      </c>
      <c r="P36" s="249">
        <v>9.98901510786004E-2</v>
      </c>
      <c r="Q36" s="249">
        <v>9.7618852693591454E-2</v>
      </c>
      <c r="R36" s="249">
        <v>9.5402951830168073E-2</v>
      </c>
      <c r="S36" s="249">
        <v>9.3241097329267247E-2</v>
      </c>
      <c r="T36" s="249">
        <v>9.1131970986924937E-2</v>
      </c>
      <c r="U36" s="249">
        <v>8.9074286750493448E-2</v>
      </c>
      <c r="V36" s="249">
        <v>8.7066789934462707E-2</v>
      </c>
      <c r="W36" s="249">
        <v>8.5108256455408343E-2</v>
      </c>
      <c r="X36" s="249">
        <v>8.3197492085599192E-2</v>
      </c>
      <c r="Y36" s="249">
        <v>8.1333331724809776E-2</v>
      </c>
      <c r="Z36" s="249">
        <v>7.9514638689893294E-2</v>
      </c>
      <c r="AA36" s="249">
        <v>7.7740304021682069E-2</v>
      </c>
      <c r="AB36" s="249">
        <v>7.6009245808793077E-2</v>
      </c>
      <c r="AC36" s="249">
        <v>7.4320408527925763E-2</v>
      </c>
      <c r="AD36" s="249">
        <v>7.2672762400250335E-2</v>
      </c>
      <c r="AE36" s="249">
        <v>7.1065302763493821E-2</v>
      </c>
      <c r="AF36" s="249">
        <v>6.9497049459341126E-2</v>
      </c>
      <c r="AG36" s="249">
        <v>6.513763666839309E-2</v>
      </c>
      <c r="AH36" s="249">
        <v>6.7669172932330827E-3</v>
      </c>
      <c r="AI36" s="249">
        <v>6.7669172932330827E-3</v>
      </c>
      <c r="AJ36" s="249">
        <v>6.7669172932330827E-3</v>
      </c>
      <c r="AK36" s="249">
        <v>6.7669172932330827E-3</v>
      </c>
      <c r="AL36" s="249">
        <v>6.7669172932330827E-3</v>
      </c>
      <c r="AM36" s="249">
        <v>6.7669172932330827E-3</v>
      </c>
      <c r="AN36" s="249">
        <v>6.7669172932330827E-3</v>
      </c>
      <c r="AO36" s="249">
        <v>6.7669172932330827E-3</v>
      </c>
      <c r="AP36" s="249">
        <v>6.7669172932330827E-3</v>
      </c>
      <c r="AQ36" s="249">
        <v>6.7669172932330827E-3</v>
      </c>
      <c r="AR36" s="249">
        <v>6.7669172932330827E-3</v>
      </c>
      <c r="AS36" s="249">
        <v>6.7669172932330827E-3</v>
      </c>
      <c r="AT36" s="249">
        <v>6.7669172932330827E-3</v>
      </c>
      <c r="AU36" s="249">
        <v>6.7669172932330827E-3</v>
      </c>
      <c r="AV36" s="249">
        <v>6.7669172932330827E-3</v>
      </c>
      <c r="AW36" s="249">
        <v>6.7669172932330827E-3</v>
      </c>
      <c r="AX36" s="249">
        <v>6.7669172932330827E-3</v>
      </c>
      <c r="AY36" s="249">
        <v>6.7669172932330827E-3</v>
      </c>
      <c r="AZ36" s="249">
        <v>6.7669172932330827E-3</v>
      </c>
      <c r="BA36" s="250">
        <v>6.7669172932330827E-3</v>
      </c>
    </row>
    <row r="37" spans="3:53" x14ac:dyDescent="0.2">
      <c r="C37" s="247" t="s">
        <v>279</v>
      </c>
      <c r="D37" s="257">
        <v>0.21485171337904913</v>
      </c>
      <c r="E37" s="258">
        <v>0.20977647445012682</v>
      </c>
      <c r="F37" s="258">
        <v>0.20482502183654408</v>
      </c>
      <c r="G37" s="258">
        <v>0.19999433635987796</v>
      </c>
      <c r="H37" s="258">
        <v>0.19528147248020369</v>
      </c>
      <c r="I37" s="258">
        <v>0.19068355650003374</v>
      </c>
      <c r="J37" s="258">
        <v>0.18619778481206301</v>
      </c>
      <c r="K37" s="258">
        <v>0.18182142218965253</v>
      </c>
      <c r="L37" s="258">
        <v>0.17755180011900815</v>
      </c>
      <c r="M37" s="258">
        <v>0.17338631517203804</v>
      </c>
      <c r="N37" s="258">
        <v>0.1693224274188965</v>
      </c>
      <c r="O37" s="258">
        <v>0.16535765887924617</v>
      </c>
      <c r="P37" s="258">
        <v>0.16148959201129467</v>
      </c>
      <c r="Q37" s="258">
        <v>0.15771586823768341</v>
      </c>
      <c r="R37" s="258">
        <v>0.15403418650733097</v>
      </c>
      <c r="S37" s="258">
        <v>0.15044230189235297</v>
      </c>
      <c r="T37" s="258">
        <v>0.14693802421920371</v>
      </c>
      <c r="U37" s="258">
        <v>0.14351921673320447</v>
      </c>
      <c r="V37" s="258">
        <v>0.14018379479564419</v>
      </c>
      <c r="W37" s="258">
        <v>0.13692972461265859</v>
      </c>
      <c r="X37" s="258">
        <v>0.13375502199511163</v>
      </c>
      <c r="Y37" s="258">
        <v>0.13065775114872435</v>
      </c>
      <c r="Z37" s="258">
        <v>0.12763602349371239</v>
      </c>
      <c r="AA37" s="258">
        <v>0.12468799651321291</v>
      </c>
      <c r="AB37" s="258">
        <v>0.12181187262979878</v>
      </c>
      <c r="AC37" s="258">
        <v>6.7669172932330827E-3</v>
      </c>
      <c r="AD37" s="258">
        <v>6.7669172932330827E-3</v>
      </c>
      <c r="AE37" s="258">
        <v>6.7669172932330827E-3</v>
      </c>
      <c r="AF37" s="258">
        <v>6.7669172932330827E-3</v>
      </c>
      <c r="AG37" s="258">
        <v>6.7669172932330827E-3</v>
      </c>
      <c r="AH37" s="258">
        <v>6.7669172932330827E-3</v>
      </c>
      <c r="AI37" s="258">
        <v>6.7669172932330827E-3</v>
      </c>
      <c r="AJ37" s="258">
        <v>6.7669172932330827E-3</v>
      </c>
      <c r="AK37" s="258">
        <v>6.7669172932330827E-3</v>
      </c>
      <c r="AL37" s="258">
        <v>6.7669172932330827E-3</v>
      </c>
      <c r="AM37" s="258">
        <v>6.7669172932330827E-3</v>
      </c>
      <c r="AN37" s="258">
        <v>6.7669172932330827E-3</v>
      </c>
      <c r="AO37" s="258">
        <v>6.7669172932330827E-3</v>
      </c>
      <c r="AP37" s="258">
        <v>6.7669172932330827E-3</v>
      </c>
      <c r="AQ37" s="258">
        <v>6.7669172932330827E-3</v>
      </c>
      <c r="AR37" s="258">
        <v>6.7669172932330827E-3</v>
      </c>
      <c r="AS37" s="258">
        <v>6.7669172932330827E-3</v>
      </c>
      <c r="AT37" s="258">
        <v>6.7669172932330827E-3</v>
      </c>
      <c r="AU37" s="258">
        <v>6.7669172932330827E-3</v>
      </c>
      <c r="AV37" s="258">
        <v>6.7669172932330827E-3</v>
      </c>
      <c r="AW37" s="258">
        <v>6.7669172932330827E-3</v>
      </c>
      <c r="AX37" s="258">
        <v>6.7669172932330827E-3</v>
      </c>
      <c r="AY37" s="258">
        <v>6.7669172932330827E-3</v>
      </c>
      <c r="AZ37" s="258">
        <v>6.7669172932330827E-3</v>
      </c>
      <c r="BA37" s="259">
        <v>6.7669172932330827E-3</v>
      </c>
    </row>
    <row r="38" spans="3:53" x14ac:dyDescent="0.2">
      <c r="C38" s="288" t="s">
        <v>608</v>
      </c>
      <c r="D38" s="289">
        <v>0.10194020566369887</v>
      </c>
      <c r="E38" s="289">
        <v>9.9618905941451522E-2</v>
      </c>
      <c r="F38" s="289">
        <v>9.7354223285600464E-2</v>
      </c>
      <c r="G38" s="289">
        <v>9.5144776792087216E-2</v>
      </c>
      <c r="H38" s="289">
        <v>9.2989219237440149E-2</v>
      </c>
      <c r="I38" s="289">
        <v>9.0886236257296679E-2</v>
      </c>
      <c r="J38" s="289">
        <v>8.8834545544961577E-2</v>
      </c>
      <c r="K38" s="289">
        <v>8.6832896069512708E-2</v>
      </c>
      <c r="L38" s="289">
        <v>8.4880067312977231E-2</v>
      </c>
      <c r="M38" s="289">
        <v>8.2974868526113341E-2</v>
      </c>
      <c r="N38" s="289">
        <v>8.1116138002343699E-2</v>
      </c>
      <c r="O38" s="289">
        <v>7.9302742369397689E-2</v>
      </c>
      <c r="P38" s="289">
        <v>7.7533575898230858E-2</v>
      </c>
      <c r="Q38" s="289">
        <v>7.5807559828799817E-2</v>
      </c>
      <c r="R38" s="289">
        <v>7.412364171228171E-2</v>
      </c>
      <c r="S38" s="289">
        <v>7.248079476933722E-2</v>
      </c>
      <c r="T38" s="289">
        <v>7.0878017264025525E-2</v>
      </c>
      <c r="U38" s="289">
        <v>6.9314331892989745E-2</v>
      </c>
      <c r="V38" s="289">
        <v>6.7788785189540166E-2</v>
      </c>
      <c r="W38" s="289">
        <v>6.6300446942272287E-2</v>
      </c>
      <c r="X38" s="289">
        <v>6.4848409627864631E-2</v>
      </c>
      <c r="Y38" s="289">
        <v>6.3431787857710795E-2</v>
      </c>
      <c r="Z38" s="289">
        <v>6.2049717838048524E-2</v>
      </c>
      <c r="AA38" s="289">
        <v>6.0701356843256074E-2</v>
      </c>
      <c r="AB38" s="289">
        <v>5.9385882701995137E-2</v>
      </c>
      <c r="AC38" s="289">
        <v>5.810249329588691E-2</v>
      </c>
      <c r="AD38" s="289">
        <v>5.685040607041545E-2</v>
      </c>
      <c r="AE38" s="289">
        <v>5.5628857557760376E-2</v>
      </c>
      <c r="AF38" s="289">
        <v>5.4437102911267632E-2</v>
      </c>
      <c r="AG38" s="289">
        <v>5.1520739041028399E-2</v>
      </c>
      <c r="AH38" s="289">
        <v>6.7669170515574752E-3</v>
      </c>
      <c r="AI38" s="289">
        <v>6.7669170515574752E-3</v>
      </c>
      <c r="AJ38" s="289">
        <v>6.7669170515574752E-3</v>
      </c>
      <c r="AK38" s="289">
        <v>6.7669170515574752E-3</v>
      </c>
      <c r="AL38" s="289">
        <v>6.7669170515574752E-3</v>
      </c>
      <c r="AM38" s="289">
        <v>6.7669170515574752E-3</v>
      </c>
      <c r="AN38" s="289">
        <v>6.7669170515574752E-3</v>
      </c>
      <c r="AO38" s="289">
        <v>6.7669170515574752E-3</v>
      </c>
      <c r="AP38" s="289">
        <v>6.7669170515574752E-3</v>
      </c>
      <c r="AQ38" s="289">
        <v>6.7669170515574752E-3</v>
      </c>
      <c r="AR38" s="289">
        <v>6.7669170515574752E-3</v>
      </c>
      <c r="AS38" s="289">
        <v>6.7669170515574752E-3</v>
      </c>
      <c r="AT38" s="289">
        <v>6.7669170515574752E-3</v>
      </c>
      <c r="AU38" s="289">
        <v>6.7669170515574752E-3</v>
      </c>
      <c r="AV38" s="289">
        <v>6.7669170515574752E-3</v>
      </c>
      <c r="AW38" s="289">
        <v>6.7669170515574752E-3</v>
      </c>
      <c r="AX38" s="289">
        <v>6.7669170515574752E-3</v>
      </c>
      <c r="AY38" s="289">
        <v>6.7669170515574752E-3</v>
      </c>
      <c r="AZ38" s="289">
        <v>6.7669170515574752E-3</v>
      </c>
      <c r="BA38" s="290">
        <v>6.7669170515574752E-3</v>
      </c>
    </row>
    <row r="56" spans="2:53" x14ac:dyDescent="0.2">
      <c r="B56" s="28" t="s">
        <v>577</v>
      </c>
    </row>
    <row r="58" spans="2:53" x14ac:dyDescent="0.2">
      <c r="C58" s="28" t="s">
        <v>572</v>
      </c>
      <c r="D58" s="23">
        <f>D$15</f>
        <v>2024</v>
      </c>
      <c r="E58" s="23">
        <f t="shared" ref="E58:BA58" si="68">E$15</f>
        <v>2025</v>
      </c>
      <c r="F58" s="23">
        <f t="shared" si="68"/>
        <v>2026</v>
      </c>
      <c r="G58" s="23">
        <f t="shared" si="68"/>
        <v>2027</v>
      </c>
      <c r="H58" s="23">
        <f t="shared" si="68"/>
        <v>2028</v>
      </c>
      <c r="I58" s="23">
        <f t="shared" si="68"/>
        <v>2029</v>
      </c>
      <c r="J58" s="23">
        <f t="shared" si="68"/>
        <v>2030</v>
      </c>
      <c r="K58" s="23">
        <f t="shared" si="68"/>
        <v>2031</v>
      </c>
      <c r="L58" s="23">
        <f t="shared" si="68"/>
        <v>2032</v>
      </c>
      <c r="M58" s="23">
        <f t="shared" si="68"/>
        <v>2033</v>
      </c>
      <c r="N58" s="23">
        <f t="shared" si="68"/>
        <v>2034</v>
      </c>
      <c r="O58" s="23">
        <f t="shared" si="68"/>
        <v>2035</v>
      </c>
      <c r="P58" s="23">
        <f t="shared" si="68"/>
        <v>2036</v>
      </c>
      <c r="Q58" s="23">
        <f t="shared" si="68"/>
        <v>2037</v>
      </c>
      <c r="R58" s="23">
        <f t="shared" si="68"/>
        <v>2038</v>
      </c>
      <c r="S58" s="23">
        <f t="shared" si="68"/>
        <v>2039</v>
      </c>
      <c r="T58" s="23">
        <f t="shared" si="68"/>
        <v>2040</v>
      </c>
      <c r="U58" s="23">
        <f t="shared" si="68"/>
        <v>2041</v>
      </c>
      <c r="V58" s="23">
        <f t="shared" si="68"/>
        <v>2042</v>
      </c>
      <c r="W58" s="23">
        <f t="shared" si="68"/>
        <v>2043</v>
      </c>
      <c r="X58" s="23">
        <f t="shared" si="68"/>
        <v>2044</v>
      </c>
      <c r="Y58" s="23">
        <f t="shared" si="68"/>
        <v>2045</v>
      </c>
      <c r="Z58" s="23">
        <f t="shared" si="68"/>
        <v>2046</v>
      </c>
      <c r="AA58" s="23">
        <f t="shared" si="68"/>
        <v>2047</v>
      </c>
      <c r="AB58" s="23">
        <f t="shared" si="68"/>
        <v>2048</v>
      </c>
      <c r="AC58" s="23">
        <f t="shared" si="68"/>
        <v>2049</v>
      </c>
      <c r="AD58" s="23">
        <f t="shared" si="68"/>
        <v>2050</v>
      </c>
      <c r="AE58" s="23">
        <f t="shared" si="68"/>
        <v>2051</v>
      </c>
      <c r="AF58" s="23">
        <f t="shared" si="68"/>
        <v>2052</v>
      </c>
      <c r="AG58" s="23">
        <f t="shared" si="68"/>
        <v>2053</v>
      </c>
      <c r="AH58" s="23">
        <f t="shared" si="68"/>
        <v>2054</v>
      </c>
      <c r="AI58" s="23">
        <f t="shared" si="68"/>
        <v>2055</v>
      </c>
      <c r="AJ58" s="23">
        <f t="shared" si="68"/>
        <v>2056</v>
      </c>
      <c r="AK58" s="23">
        <f t="shared" si="68"/>
        <v>2057</v>
      </c>
      <c r="AL58" s="23">
        <f t="shared" si="68"/>
        <v>2058</v>
      </c>
      <c r="AM58" s="23">
        <f t="shared" si="68"/>
        <v>2059</v>
      </c>
      <c r="AN58" s="23">
        <f t="shared" si="68"/>
        <v>2060</v>
      </c>
      <c r="AO58" s="23">
        <f t="shared" si="68"/>
        <v>2061</v>
      </c>
      <c r="AP58" s="23">
        <f t="shared" si="68"/>
        <v>2062</v>
      </c>
      <c r="AQ58" s="23">
        <f t="shared" si="68"/>
        <v>2063</v>
      </c>
      <c r="AR58" s="23">
        <f t="shared" si="68"/>
        <v>2064</v>
      </c>
      <c r="AS58" s="23">
        <f t="shared" si="68"/>
        <v>2065</v>
      </c>
      <c r="AT58" s="23">
        <f t="shared" si="68"/>
        <v>2066</v>
      </c>
      <c r="AU58" s="23">
        <f t="shared" si="68"/>
        <v>2067</v>
      </c>
      <c r="AV58" s="23">
        <f t="shared" si="68"/>
        <v>2068</v>
      </c>
      <c r="AW58" s="23">
        <f t="shared" si="68"/>
        <v>2069</v>
      </c>
      <c r="AX58" s="23">
        <f t="shared" si="68"/>
        <v>2070</v>
      </c>
      <c r="AY58" s="23">
        <f t="shared" si="68"/>
        <v>2071</v>
      </c>
      <c r="AZ58" s="23">
        <f t="shared" si="68"/>
        <v>2072</v>
      </c>
      <c r="BA58" s="23">
        <f t="shared" si="68"/>
        <v>2073</v>
      </c>
    </row>
    <row r="60" spans="2:53" x14ac:dyDescent="0.2">
      <c r="C60" s="254" t="s">
        <v>276</v>
      </c>
      <c r="D60" s="248">
        <v>0.13200731368884877</v>
      </c>
      <c r="E60" s="249">
        <v>0.12895266987432155</v>
      </c>
      <c r="F60" s="249">
        <v>0.12597252956746577</v>
      </c>
      <c r="G60" s="249">
        <v>0.12306507560955768</v>
      </c>
      <c r="H60" s="249">
        <v>0.12022853516281805</v>
      </c>
      <c r="I60" s="249">
        <v>0.11746117862941353</v>
      </c>
      <c r="J60" s="249">
        <v>0.1147613185968238</v>
      </c>
      <c r="K60" s="249">
        <v>0.11212730880893135</v>
      </c>
      <c r="L60" s="249">
        <v>0.10955754316220702</v>
      </c>
      <c r="M60" s="249">
        <v>0.10705045472637839</v>
      </c>
      <c r="N60" s="249">
        <v>0.10460451478898462</v>
      </c>
      <c r="O60" s="249">
        <v>0.10221823192323458</v>
      </c>
      <c r="P60" s="249">
        <v>9.98901510786004E-2</v>
      </c>
      <c r="Q60" s="249">
        <v>9.7618852693591454E-2</v>
      </c>
      <c r="R60" s="249">
        <v>9.5402951830168073E-2</v>
      </c>
      <c r="S60" s="249">
        <v>9.3241097329267247E-2</v>
      </c>
      <c r="T60" s="249">
        <v>9.1131970986924937E-2</v>
      </c>
      <c r="U60" s="249">
        <v>8.9074286750493448E-2</v>
      </c>
      <c r="V60" s="249">
        <v>8.7066789934462707E-2</v>
      </c>
      <c r="W60" s="249">
        <v>8.5108256455408343E-2</v>
      </c>
      <c r="X60" s="249">
        <v>8.3197492085599192E-2</v>
      </c>
      <c r="Y60" s="249">
        <v>8.1333331724809776E-2</v>
      </c>
      <c r="Z60" s="249">
        <v>7.9514638689893294E-2</v>
      </c>
      <c r="AA60" s="249">
        <v>7.7740304021682069E-2</v>
      </c>
      <c r="AB60" s="249">
        <v>7.6009245808793077E-2</v>
      </c>
      <c r="AC60" s="249">
        <v>7.4320408527925763E-2</v>
      </c>
      <c r="AD60" s="249">
        <v>7.2672762400250335E-2</v>
      </c>
      <c r="AE60" s="249">
        <v>7.1065302763493821E-2</v>
      </c>
      <c r="AF60" s="249">
        <v>6.9497049459341126E-2</v>
      </c>
      <c r="AG60" s="249">
        <v>6.513763666839309E-2</v>
      </c>
      <c r="AH60" s="249">
        <v>6.7669172932330827E-3</v>
      </c>
      <c r="AI60" s="249">
        <v>6.7669172932330827E-3</v>
      </c>
      <c r="AJ60" s="249">
        <v>6.7669172932330827E-3</v>
      </c>
      <c r="AK60" s="249">
        <v>6.7669172932330827E-3</v>
      </c>
      <c r="AL60" s="249">
        <v>6.7669172932330827E-3</v>
      </c>
      <c r="AM60" s="249">
        <v>6.7669172932330827E-3</v>
      </c>
      <c r="AN60" s="249">
        <v>6.7669172932330827E-3</v>
      </c>
      <c r="AO60" s="249">
        <v>6.7669172932330827E-3</v>
      </c>
      <c r="AP60" s="249">
        <v>6.7669172932330827E-3</v>
      </c>
      <c r="AQ60" s="249">
        <v>6.7669172932330827E-3</v>
      </c>
      <c r="AR60" s="249">
        <v>6.7669172932330827E-3</v>
      </c>
      <c r="AS60" s="249">
        <v>6.7669172932330827E-3</v>
      </c>
      <c r="AT60" s="249">
        <v>6.7669172932330827E-3</v>
      </c>
      <c r="AU60" s="249">
        <v>6.7669172932330827E-3</v>
      </c>
      <c r="AV60" s="249">
        <v>6.7669172932330827E-3</v>
      </c>
      <c r="AW60" s="249">
        <v>6.7669172932330827E-3</v>
      </c>
      <c r="AX60" s="249">
        <v>6.7669172932330827E-3</v>
      </c>
      <c r="AY60" s="249">
        <v>6.7669172932330827E-3</v>
      </c>
      <c r="AZ60" s="249">
        <v>6.7669172932330827E-3</v>
      </c>
      <c r="BA60" s="250">
        <v>6.7669172932330827E-3</v>
      </c>
    </row>
    <row r="61" spans="2:53" x14ac:dyDescent="0.2">
      <c r="C61" s="255" t="s">
        <v>277</v>
      </c>
      <c r="D61" s="257">
        <v>0.21485171337904913</v>
      </c>
      <c r="E61" s="258">
        <v>0.20977647445012682</v>
      </c>
      <c r="F61" s="258">
        <v>0.20482502183654408</v>
      </c>
      <c r="G61" s="258">
        <v>0.19999433635987796</v>
      </c>
      <c r="H61" s="258">
        <v>0.19528147248020369</v>
      </c>
      <c r="I61" s="258">
        <v>0.19068355650003374</v>
      </c>
      <c r="J61" s="258">
        <v>0.18619778481206301</v>
      </c>
      <c r="K61" s="258">
        <v>0.18182142218965253</v>
      </c>
      <c r="L61" s="258">
        <v>0.17755180011900815</v>
      </c>
      <c r="M61" s="258">
        <v>0.17338631517203804</v>
      </c>
      <c r="N61" s="258">
        <v>0.1693224274188965</v>
      </c>
      <c r="O61" s="258">
        <v>0.16535765887924617</v>
      </c>
      <c r="P61" s="258">
        <v>0.16148959201129467</v>
      </c>
      <c r="Q61" s="258">
        <v>0.15771586823768341</v>
      </c>
      <c r="R61" s="258">
        <v>0.15403418650733097</v>
      </c>
      <c r="S61" s="258">
        <v>0.15044230189235297</v>
      </c>
      <c r="T61" s="258">
        <v>0.14693802421920371</v>
      </c>
      <c r="U61" s="258">
        <v>0.14351921673320447</v>
      </c>
      <c r="V61" s="258">
        <v>0.14018379479564419</v>
      </c>
      <c r="W61" s="258">
        <v>0.13692972461265859</v>
      </c>
      <c r="X61" s="258">
        <v>0.13375502199511163</v>
      </c>
      <c r="Y61" s="258">
        <v>0.13065775114872435</v>
      </c>
      <c r="Z61" s="258">
        <v>0.12763602349371239</v>
      </c>
      <c r="AA61" s="258">
        <v>0.12468799651321291</v>
      </c>
      <c r="AB61" s="258">
        <v>0.12181187262979878</v>
      </c>
      <c r="AC61" s="258">
        <v>6.7669172932330827E-3</v>
      </c>
      <c r="AD61" s="258">
        <v>6.7669172932330827E-3</v>
      </c>
      <c r="AE61" s="258">
        <v>6.7669172932330827E-3</v>
      </c>
      <c r="AF61" s="258">
        <v>6.7669172932330827E-3</v>
      </c>
      <c r="AG61" s="258">
        <v>6.7669172932330827E-3</v>
      </c>
      <c r="AH61" s="258">
        <v>6.7669172932330827E-3</v>
      </c>
      <c r="AI61" s="258">
        <v>6.7669172932330827E-3</v>
      </c>
      <c r="AJ61" s="258">
        <v>6.7669172932330827E-3</v>
      </c>
      <c r="AK61" s="258">
        <v>6.7669172932330827E-3</v>
      </c>
      <c r="AL61" s="258">
        <v>6.7669172932330827E-3</v>
      </c>
      <c r="AM61" s="258">
        <v>6.7669172932330827E-3</v>
      </c>
      <c r="AN61" s="258">
        <v>6.7669172932330827E-3</v>
      </c>
      <c r="AO61" s="258">
        <v>6.7669172932330827E-3</v>
      </c>
      <c r="AP61" s="258">
        <v>6.7669172932330827E-3</v>
      </c>
      <c r="AQ61" s="258">
        <v>6.7669172932330827E-3</v>
      </c>
      <c r="AR61" s="258">
        <v>6.7669172932330827E-3</v>
      </c>
      <c r="AS61" s="258">
        <v>6.7669172932330827E-3</v>
      </c>
      <c r="AT61" s="258">
        <v>6.7669172932330827E-3</v>
      </c>
      <c r="AU61" s="258">
        <v>6.7669172932330827E-3</v>
      </c>
      <c r="AV61" s="258">
        <v>6.7669172932330827E-3</v>
      </c>
      <c r="AW61" s="258">
        <v>6.7669172932330827E-3</v>
      </c>
      <c r="AX61" s="258">
        <v>6.7669172932330827E-3</v>
      </c>
      <c r="AY61" s="258">
        <v>6.7669172932330827E-3</v>
      </c>
      <c r="AZ61" s="258">
        <v>6.7669172932330827E-3</v>
      </c>
      <c r="BA61" s="259">
        <v>6.7669172932330827E-3</v>
      </c>
    </row>
    <row r="62" spans="2:53" x14ac:dyDescent="0.2">
      <c r="C62" s="255" t="s">
        <v>568</v>
      </c>
      <c r="D62" s="257">
        <v>0.10194020566369887</v>
      </c>
      <c r="E62" s="258">
        <v>9.9618905941451522E-2</v>
      </c>
      <c r="F62" s="258">
        <v>9.7354223285600464E-2</v>
      </c>
      <c r="G62" s="258">
        <v>9.5144776792087216E-2</v>
      </c>
      <c r="H62" s="258">
        <v>9.2989219237440149E-2</v>
      </c>
      <c r="I62" s="258">
        <v>9.0886236257296679E-2</v>
      </c>
      <c r="J62" s="258">
        <v>8.8834545544961577E-2</v>
      </c>
      <c r="K62" s="258">
        <v>8.6832896069512708E-2</v>
      </c>
      <c r="L62" s="258">
        <v>8.4880067312977231E-2</v>
      </c>
      <c r="M62" s="258">
        <v>8.2974868526113341E-2</v>
      </c>
      <c r="N62" s="258">
        <v>8.1116138002343699E-2</v>
      </c>
      <c r="O62" s="258">
        <v>7.9302742369397689E-2</v>
      </c>
      <c r="P62" s="258">
        <v>7.7533575898230858E-2</v>
      </c>
      <c r="Q62" s="258">
        <v>7.5807559828799817E-2</v>
      </c>
      <c r="R62" s="258">
        <v>7.412364171228171E-2</v>
      </c>
      <c r="S62" s="258">
        <v>7.248079476933722E-2</v>
      </c>
      <c r="T62" s="258">
        <v>7.0878017264025525E-2</v>
      </c>
      <c r="U62" s="258">
        <v>6.9314331892989745E-2</v>
      </c>
      <c r="V62" s="258">
        <v>6.7788785189540166E-2</v>
      </c>
      <c r="W62" s="258">
        <v>6.6300446942272287E-2</v>
      </c>
      <c r="X62" s="258">
        <v>6.4848409627864631E-2</v>
      </c>
      <c r="Y62" s="258">
        <v>6.3431787857710795E-2</v>
      </c>
      <c r="Z62" s="258">
        <v>6.2049717838048524E-2</v>
      </c>
      <c r="AA62" s="258">
        <v>6.0701356843256074E-2</v>
      </c>
      <c r="AB62" s="258">
        <v>5.9385882701995137E-2</v>
      </c>
      <c r="AC62" s="258">
        <v>5.810249329588691E-2</v>
      </c>
      <c r="AD62" s="258">
        <v>5.685040607041545E-2</v>
      </c>
      <c r="AE62" s="258">
        <v>5.5628857557760376E-2</v>
      </c>
      <c r="AF62" s="258">
        <v>5.4437102911267632E-2</v>
      </c>
      <c r="AG62" s="258">
        <v>5.1520739041028399E-2</v>
      </c>
      <c r="AH62" s="258">
        <v>6.7669170515574752E-3</v>
      </c>
      <c r="AI62" s="258">
        <v>6.7669170515574752E-3</v>
      </c>
      <c r="AJ62" s="258">
        <v>6.7669170515574752E-3</v>
      </c>
      <c r="AK62" s="258">
        <v>6.7669170515574752E-3</v>
      </c>
      <c r="AL62" s="258">
        <v>6.7669170515574752E-3</v>
      </c>
      <c r="AM62" s="258">
        <v>6.7669170515574752E-3</v>
      </c>
      <c r="AN62" s="258">
        <v>6.7669170515574752E-3</v>
      </c>
      <c r="AO62" s="258">
        <v>6.7669170515574752E-3</v>
      </c>
      <c r="AP62" s="258">
        <v>6.7669170515574752E-3</v>
      </c>
      <c r="AQ62" s="258">
        <v>6.7669170515574752E-3</v>
      </c>
      <c r="AR62" s="258">
        <v>6.7669170515574752E-3</v>
      </c>
      <c r="AS62" s="258">
        <v>6.7669170515574752E-3</v>
      </c>
      <c r="AT62" s="258">
        <v>6.7669170515574752E-3</v>
      </c>
      <c r="AU62" s="258">
        <v>6.7669170515574752E-3</v>
      </c>
      <c r="AV62" s="258">
        <v>6.7669170515574752E-3</v>
      </c>
      <c r="AW62" s="258">
        <v>6.7669170515574752E-3</v>
      </c>
      <c r="AX62" s="258">
        <v>6.7669170515574752E-3</v>
      </c>
      <c r="AY62" s="258">
        <v>6.7669170515574752E-3</v>
      </c>
      <c r="AZ62" s="258">
        <v>6.7669170515574752E-3</v>
      </c>
      <c r="BA62" s="259">
        <v>6.7669170515574752E-3</v>
      </c>
    </row>
    <row r="63" spans="2:53" x14ac:dyDescent="0.2">
      <c r="C63" s="255" t="s">
        <v>280</v>
      </c>
      <c r="D63" s="257">
        <v>0.11079667999134611</v>
      </c>
      <c r="E63" s="258">
        <v>0.1098734070297253</v>
      </c>
      <c r="F63" s="258">
        <v>0.10828062609417291</v>
      </c>
      <c r="G63" s="258">
        <v>0.10617357605265505</v>
      </c>
      <c r="H63" s="258">
        <v>0.10462648657338616</v>
      </c>
      <c r="I63" s="258">
        <v>0.10254016560756432</v>
      </c>
      <c r="J63" s="260">
        <v>0.10044807169991643</v>
      </c>
      <c r="K63" s="260">
        <v>9.8833597914292609E-2</v>
      </c>
      <c r="L63" s="260">
        <v>9.7523455485844929E-2</v>
      </c>
      <c r="M63" s="260">
        <v>9.5673383555283695E-2</v>
      </c>
      <c r="N63" s="260">
        <v>9.3859508357538299E-2</v>
      </c>
      <c r="O63" s="260">
        <v>9.2298895820600024E-2</v>
      </c>
      <c r="P63" s="260">
        <v>8.978540522780587E-2</v>
      </c>
      <c r="Q63" s="260">
        <v>8.7011997993110241E-2</v>
      </c>
      <c r="R63" s="260">
        <v>8.4688364334748981E-2</v>
      </c>
      <c r="S63" s="260">
        <v>8.179906962383196E-2</v>
      </c>
      <c r="T63" s="260">
        <v>8.1198145522476201E-2</v>
      </c>
      <c r="U63" s="260">
        <v>7.9567994795531019E-2</v>
      </c>
      <c r="V63" s="260">
        <v>7.8559167189033871E-2</v>
      </c>
      <c r="W63" s="260">
        <v>7.7270258210623041E-2</v>
      </c>
      <c r="X63" s="260">
        <v>7.6559352665285171E-2</v>
      </c>
      <c r="Y63" s="260">
        <v>7.5330849632815181E-2</v>
      </c>
      <c r="Z63" s="260">
        <v>7.4353013719237124E-2</v>
      </c>
      <c r="AA63" s="260">
        <v>7.3122996147469685E-2</v>
      </c>
      <c r="AB63" s="260">
        <v>7.2449730701157095E-2</v>
      </c>
      <c r="AC63" s="260">
        <v>7.1245852019807251E-2</v>
      </c>
      <c r="AD63" s="260">
        <v>7.0091631564315207E-2</v>
      </c>
      <c r="AE63" s="260">
        <v>6.8925962181023939E-2</v>
      </c>
      <c r="AF63" s="260">
        <v>6.8294553150923615E-2</v>
      </c>
      <c r="AG63" s="260">
        <v>6.6450169909936338E-2</v>
      </c>
      <c r="AH63" s="260">
        <v>0</v>
      </c>
      <c r="AI63" s="260">
        <v>0</v>
      </c>
      <c r="AJ63" s="260">
        <v>0</v>
      </c>
      <c r="AK63" s="260">
        <v>0</v>
      </c>
      <c r="AL63" s="260">
        <v>0</v>
      </c>
      <c r="AM63" s="260">
        <v>0</v>
      </c>
      <c r="AN63" s="260">
        <v>0</v>
      </c>
      <c r="AO63" s="260">
        <v>0</v>
      </c>
      <c r="AP63" s="260">
        <v>0</v>
      </c>
      <c r="AQ63" s="260">
        <v>0</v>
      </c>
      <c r="AR63" s="260">
        <v>0</v>
      </c>
      <c r="AS63" s="260">
        <v>0</v>
      </c>
      <c r="AT63" s="260">
        <v>0</v>
      </c>
      <c r="AU63" s="260">
        <v>0</v>
      </c>
      <c r="AV63" s="260">
        <v>0</v>
      </c>
      <c r="AW63" s="260">
        <v>0</v>
      </c>
      <c r="AX63" s="260">
        <v>0</v>
      </c>
      <c r="AY63" s="260">
        <v>0</v>
      </c>
      <c r="AZ63" s="260">
        <v>0</v>
      </c>
      <c r="BA63" s="261">
        <v>0</v>
      </c>
    </row>
    <row r="64" spans="2:53" x14ac:dyDescent="0.2">
      <c r="C64" s="256" t="s">
        <v>281</v>
      </c>
      <c r="D64" s="251">
        <v>0.20717470002689267</v>
      </c>
      <c r="E64" s="252">
        <v>0.20905041792844503</v>
      </c>
      <c r="F64" s="252">
        <v>0.21102401013021616</v>
      </c>
      <c r="G64" s="252">
        <v>0.21308295473014699</v>
      </c>
      <c r="H64" s="252">
        <v>0.21523848988540684</v>
      </c>
      <c r="I64" s="252">
        <v>0.21747812500478744</v>
      </c>
      <c r="J64" s="262">
        <v>0.21981312879262987</v>
      </c>
      <c r="K64" s="262">
        <v>0.22224291256510775</v>
      </c>
      <c r="L64" s="262">
        <v>0.22477877410179986</v>
      </c>
      <c r="M64" s="262">
        <v>0.22739640887443915</v>
      </c>
      <c r="N64" s="262">
        <v>0.23033271233683442</v>
      </c>
      <c r="O64" s="262">
        <v>0.23338532538101969</v>
      </c>
      <c r="P64" s="262">
        <v>0.2365418555910079</v>
      </c>
      <c r="Q64" s="262">
        <v>0.23980179534658061</v>
      </c>
      <c r="R64" s="262">
        <v>0.24317652151376312</v>
      </c>
      <c r="S64" s="262">
        <v>0.24667742303758683</v>
      </c>
      <c r="T64" s="262">
        <v>0.2502802843316897</v>
      </c>
      <c r="U64" s="262">
        <v>0.24954447814878605</v>
      </c>
      <c r="V64" s="262">
        <v>0.24882661845814844</v>
      </c>
      <c r="W64" s="262">
        <v>0.24812626754045319</v>
      </c>
      <c r="X64" s="262">
        <v>0.24744299835245781</v>
      </c>
      <c r="Y64" s="262">
        <v>0.22517345250984841</v>
      </c>
      <c r="Z64" s="262">
        <v>0.22011223083264286</v>
      </c>
      <c r="AA64" s="262">
        <v>0.22011223083264286</v>
      </c>
      <c r="AB64" s="262">
        <v>0.22011223083264286</v>
      </c>
      <c r="AC64" s="262">
        <v>0.22011223083264286</v>
      </c>
      <c r="AD64" s="262">
        <v>0.22011223083264286</v>
      </c>
      <c r="AE64" s="262">
        <v>0.22011223083264286</v>
      </c>
      <c r="AF64" s="262">
        <v>0.22011223083264286</v>
      </c>
      <c r="AG64" s="262">
        <v>0.22011223083264286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63">
        <v>0</v>
      </c>
    </row>
    <row r="85" spans="3:53" x14ac:dyDescent="0.2">
      <c r="C85" s="28" t="s">
        <v>573</v>
      </c>
      <c r="D85" s="23">
        <f>D$15</f>
        <v>2024</v>
      </c>
      <c r="E85" s="23">
        <f t="shared" ref="E85:BA85" si="69">E$15</f>
        <v>2025</v>
      </c>
      <c r="F85" s="23">
        <f t="shared" si="69"/>
        <v>2026</v>
      </c>
      <c r="G85" s="23">
        <f t="shared" si="69"/>
        <v>2027</v>
      </c>
      <c r="H85" s="23">
        <f t="shared" si="69"/>
        <v>2028</v>
      </c>
      <c r="I85" s="23">
        <f t="shared" si="69"/>
        <v>2029</v>
      </c>
      <c r="J85" s="23">
        <f t="shared" si="69"/>
        <v>2030</v>
      </c>
      <c r="K85" s="23">
        <f t="shared" si="69"/>
        <v>2031</v>
      </c>
      <c r="L85" s="23">
        <f t="shared" si="69"/>
        <v>2032</v>
      </c>
      <c r="M85" s="23">
        <f t="shared" si="69"/>
        <v>2033</v>
      </c>
      <c r="N85" s="23">
        <f t="shared" si="69"/>
        <v>2034</v>
      </c>
      <c r="O85" s="23">
        <f t="shared" si="69"/>
        <v>2035</v>
      </c>
      <c r="P85" s="23">
        <f t="shared" si="69"/>
        <v>2036</v>
      </c>
      <c r="Q85" s="23">
        <f t="shared" si="69"/>
        <v>2037</v>
      </c>
      <c r="R85" s="23">
        <f t="shared" si="69"/>
        <v>2038</v>
      </c>
      <c r="S85" s="23">
        <f t="shared" si="69"/>
        <v>2039</v>
      </c>
      <c r="T85" s="23">
        <f t="shared" si="69"/>
        <v>2040</v>
      </c>
      <c r="U85" s="23">
        <f t="shared" si="69"/>
        <v>2041</v>
      </c>
      <c r="V85" s="23">
        <f t="shared" si="69"/>
        <v>2042</v>
      </c>
      <c r="W85" s="23">
        <f t="shared" si="69"/>
        <v>2043</v>
      </c>
      <c r="X85" s="23">
        <f t="shared" si="69"/>
        <v>2044</v>
      </c>
      <c r="Y85" s="23">
        <f t="shared" si="69"/>
        <v>2045</v>
      </c>
      <c r="Z85" s="23">
        <f t="shared" si="69"/>
        <v>2046</v>
      </c>
      <c r="AA85" s="23">
        <f t="shared" si="69"/>
        <v>2047</v>
      </c>
      <c r="AB85" s="23">
        <f t="shared" si="69"/>
        <v>2048</v>
      </c>
      <c r="AC85" s="23">
        <f t="shared" si="69"/>
        <v>2049</v>
      </c>
      <c r="AD85" s="23">
        <f t="shared" si="69"/>
        <v>2050</v>
      </c>
      <c r="AE85" s="23">
        <f t="shared" si="69"/>
        <v>2051</v>
      </c>
      <c r="AF85" s="23">
        <f t="shared" si="69"/>
        <v>2052</v>
      </c>
      <c r="AG85" s="23">
        <f t="shared" si="69"/>
        <v>2053</v>
      </c>
      <c r="AH85" s="23">
        <f t="shared" si="69"/>
        <v>2054</v>
      </c>
      <c r="AI85" s="23">
        <f t="shared" si="69"/>
        <v>2055</v>
      </c>
      <c r="AJ85" s="23">
        <f t="shared" si="69"/>
        <v>2056</v>
      </c>
      <c r="AK85" s="23">
        <f t="shared" si="69"/>
        <v>2057</v>
      </c>
      <c r="AL85" s="23">
        <f t="shared" si="69"/>
        <v>2058</v>
      </c>
      <c r="AM85" s="23">
        <f t="shared" si="69"/>
        <v>2059</v>
      </c>
      <c r="AN85" s="23">
        <f t="shared" si="69"/>
        <v>2060</v>
      </c>
      <c r="AO85" s="23">
        <f t="shared" si="69"/>
        <v>2061</v>
      </c>
      <c r="AP85" s="23">
        <f t="shared" si="69"/>
        <v>2062</v>
      </c>
      <c r="AQ85" s="23">
        <f t="shared" si="69"/>
        <v>2063</v>
      </c>
      <c r="AR85" s="23">
        <f t="shared" si="69"/>
        <v>2064</v>
      </c>
      <c r="AS85" s="23">
        <f t="shared" si="69"/>
        <v>2065</v>
      </c>
      <c r="AT85" s="23">
        <f t="shared" si="69"/>
        <v>2066</v>
      </c>
      <c r="AU85" s="23">
        <f t="shared" si="69"/>
        <v>2067</v>
      </c>
      <c r="AV85" s="23">
        <f t="shared" si="69"/>
        <v>2068</v>
      </c>
      <c r="AW85" s="23">
        <f t="shared" si="69"/>
        <v>2069</v>
      </c>
      <c r="AX85" s="23">
        <f t="shared" si="69"/>
        <v>2070</v>
      </c>
      <c r="AY85" s="23">
        <f t="shared" si="69"/>
        <v>2071</v>
      </c>
      <c r="AZ85" s="23">
        <f t="shared" si="69"/>
        <v>2072</v>
      </c>
      <c r="BA85" s="23">
        <f t="shared" si="69"/>
        <v>2073</v>
      </c>
    </row>
    <row r="87" spans="3:53" x14ac:dyDescent="0.2">
      <c r="C87" s="254" t="s">
        <v>276</v>
      </c>
      <c r="D87" s="272">
        <v>0.18000731368884876</v>
      </c>
      <c r="E87" s="273">
        <v>0.17695266987432157</v>
      </c>
      <c r="F87" s="273">
        <v>0.17397252956746578</v>
      </c>
      <c r="G87" s="273">
        <v>0.17106507560955769</v>
      </c>
      <c r="H87" s="273">
        <v>0.16822853516281805</v>
      </c>
      <c r="I87" s="273">
        <v>0.16546117862941354</v>
      </c>
      <c r="J87" s="273">
        <v>0.1627613185968238</v>
      </c>
      <c r="K87" s="273">
        <v>0.16012730880893133</v>
      </c>
      <c r="L87" s="273">
        <v>0.15755754316220702</v>
      </c>
      <c r="M87" s="273">
        <v>0.15505045472637841</v>
      </c>
      <c r="N87" s="273">
        <v>0.15260451478898462</v>
      </c>
      <c r="O87" s="273">
        <v>0.15021823192323458</v>
      </c>
      <c r="P87" s="273">
        <v>0.1478901510786004</v>
      </c>
      <c r="Q87" s="273">
        <v>0.14561885269359146</v>
      </c>
      <c r="R87" s="273">
        <v>0.14340295183016807</v>
      </c>
      <c r="S87" s="273">
        <v>0.14124109732926726</v>
      </c>
      <c r="T87" s="273">
        <v>0.13913197098692492</v>
      </c>
      <c r="U87" s="273">
        <v>0.13707428675049343</v>
      </c>
      <c r="V87" s="273">
        <v>0.13506678993446269</v>
      </c>
      <c r="W87" s="273">
        <v>0.13310825645540836</v>
      </c>
      <c r="X87" s="273">
        <v>0.13119749208559919</v>
      </c>
      <c r="Y87" s="273">
        <v>0.12933333172480976</v>
      </c>
      <c r="Z87" s="273">
        <v>0.12751463868989329</v>
      </c>
      <c r="AA87" s="273">
        <v>0.12574030402168207</v>
      </c>
      <c r="AB87" s="273">
        <v>0.12400924580879308</v>
      </c>
      <c r="AC87" s="273">
        <v>0.12232040852792576</v>
      </c>
      <c r="AD87" s="273">
        <v>0.12067276240025034</v>
      </c>
      <c r="AE87" s="273">
        <v>0.11906530276349382</v>
      </c>
      <c r="AF87" s="273">
        <v>0.11749704945934113</v>
      </c>
      <c r="AG87" s="273">
        <v>0.11313763666839309</v>
      </c>
      <c r="AH87" s="273">
        <v>5.4766917293233082E-2</v>
      </c>
      <c r="AI87" s="273">
        <v>5.4766917293233082E-2</v>
      </c>
      <c r="AJ87" s="273">
        <v>5.4766917293233082E-2</v>
      </c>
      <c r="AK87" s="273">
        <v>5.4766917293233082E-2</v>
      </c>
      <c r="AL87" s="273">
        <v>5.4766917293233082E-2</v>
      </c>
      <c r="AM87" s="273">
        <v>5.4766917293233082E-2</v>
      </c>
      <c r="AN87" s="273">
        <v>5.4766917293233082E-2</v>
      </c>
      <c r="AO87" s="273">
        <v>5.4766917293233082E-2</v>
      </c>
      <c r="AP87" s="273">
        <v>5.4766917293233082E-2</v>
      </c>
      <c r="AQ87" s="273">
        <v>5.4766917293233082E-2</v>
      </c>
      <c r="AR87" s="273">
        <v>5.4766917293233082E-2</v>
      </c>
      <c r="AS87" s="273">
        <v>5.4766917293233082E-2</v>
      </c>
      <c r="AT87" s="273">
        <v>5.4766917293233082E-2</v>
      </c>
      <c r="AU87" s="273">
        <v>5.4766917293233082E-2</v>
      </c>
      <c r="AV87" s="273">
        <v>5.4766917293233082E-2</v>
      </c>
      <c r="AW87" s="273">
        <v>5.4766917293233082E-2</v>
      </c>
      <c r="AX87" s="273">
        <v>5.4766917293233082E-2</v>
      </c>
      <c r="AY87" s="273">
        <v>5.4766917293233082E-2</v>
      </c>
      <c r="AZ87" s="273">
        <v>5.4766917293233082E-2</v>
      </c>
      <c r="BA87" s="274">
        <v>5.4766917293233082E-2</v>
      </c>
    </row>
    <row r="88" spans="3:53" x14ac:dyDescent="0.2">
      <c r="C88" s="255" t="s">
        <v>277</v>
      </c>
      <c r="D88" s="257">
        <v>0.26285171337904911</v>
      </c>
      <c r="E88" s="258">
        <v>0.2577764744501268</v>
      </c>
      <c r="F88" s="258">
        <v>0.25282502183654409</v>
      </c>
      <c r="G88" s="258">
        <v>0.24799433635987794</v>
      </c>
      <c r="H88" s="258">
        <v>0.24328147248020371</v>
      </c>
      <c r="I88" s="258">
        <v>0.23868355650003376</v>
      </c>
      <c r="J88" s="258">
        <v>0.23419778481206299</v>
      </c>
      <c r="K88" s="258">
        <v>0.22982142218965251</v>
      </c>
      <c r="L88" s="258">
        <v>0.22555180011900816</v>
      </c>
      <c r="M88" s="258">
        <v>0.22138631517203805</v>
      </c>
      <c r="N88" s="258">
        <v>0.21732242741889651</v>
      </c>
      <c r="O88" s="258">
        <v>0.21335765887924618</v>
      </c>
      <c r="P88" s="258">
        <v>0.20948959201129469</v>
      </c>
      <c r="Q88" s="258">
        <v>0.2057158682376834</v>
      </c>
      <c r="R88" s="258">
        <v>0.20203418650733096</v>
      </c>
      <c r="S88" s="258">
        <v>0.19844230189235296</v>
      </c>
      <c r="T88" s="258">
        <v>0.1949380242192037</v>
      </c>
      <c r="U88" s="258">
        <v>0.19151921673320449</v>
      </c>
      <c r="V88" s="258">
        <v>0.18818379479564418</v>
      </c>
      <c r="W88" s="258">
        <v>0.18492972461265861</v>
      </c>
      <c r="X88" s="258">
        <v>0.18175502199511162</v>
      </c>
      <c r="Y88" s="258">
        <v>0.17865775114872434</v>
      </c>
      <c r="Z88" s="258">
        <v>0.17563602349371238</v>
      </c>
      <c r="AA88" s="258">
        <v>0.17268799651321293</v>
      </c>
      <c r="AB88" s="258">
        <v>0.1698118726297988</v>
      </c>
      <c r="AC88" s="258">
        <v>5.4766917293233082E-2</v>
      </c>
      <c r="AD88" s="258">
        <v>5.4766917293233082E-2</v>
      </c>
      <c r="AE88" s="258">
        <v>5.4766917293233082E-2</v>
      </c>
      <c r="AF88" s="258">
        <v>5.4766917293233082E-2</v>
      </c>
      <c r="AG88" s="258">
        <v>5.4766917293233082E-2</v>
      </c>
      <c r="AH88" s="258">
        <v>5.4766917293233082E-2</v>
      </c>
      <c r="AI88" s="258">
        <v>5.4766917293233082E-2</v>
      </c>
      <c r="AJ88" s="258">
        <v>5.4766917293233082E-2</v>
      </c>
      <c r="AK88" s="258">
        <v>5.4766917293233082E-2</v>
      </c>
      <c r="AL88" s="258">
        <v>5.4766917293233082E-2</v>
      </c>
      <c r="AM88" s="258">
        <v>5.4766917293233082E-2</v>
      </c>
      <c r="AN88" s="258">
        <v>5.4766917293233082E-2</v>
      </c>
      <c r="AO88" s="258">
        <v>5.4766917293233082E-2</v>
      </c>
      <c r="AP88" s="258">
        <v>5.4766917293233082E-2</v>
      </c>
      <c r="AQ88" s="258">
        <v>5.4766917293233082E-2</v>
      </c>
      <c r="AR88" s="258">
        <v>5.4766917293233082E-2</v>
      </c>
      <c r="AS88" s="258">
        <v>5.4766917293233082E-2</v>
      </c>
      <c r="AT88" s="258">
        <v>5.4766917293233082E-2</v>
      </c>
      <c r="AU88" s="258">
        <v>5.4766917293233082E-2</v>
      </c>
      <c r="AV88" s="258">
        <v>5.4766917293233082E-2</v>
      </c>
      <c r="AW88" s="258">
        <v>5.4766917293233082E-2</v>
      </c>
      <c r="AX88" s="258">
        <v>5.4766917293233082E-2</v>
      </c>
      <c r="AY88" s="258">
        <v>5.4766917293233082E-2</v>
      </c>
      <c r="AZ88" s="258">
        <v>5.4766917293233082E-2</v>
      </c>
      <c r="BA88" s="259">
        <v>5.4766917293233082E-2</v>
      </c>
    </row>
    <row r="89" spans="3:53" x14ac:dyDescent="0.2">
      <c r="C89" s="255" t="s">
        <v>568</v>
      </c>
      <c r="D89" s="257">
        <v>0.14994020566369887</v>
      </c>
      <c r="E89" s="258">
        <v>0.14761890594145152</v>
      </c>
      <c r="F89" s="258">
        <v>0.14535422328560046</v>
      </c>
      <c r="G89" s="258">
        <v>0.1431447767920872</v>
      </c>
      <c r="H89" s="258">
        <v>0.14098921923744015</v>
      </c>
      <c r="I89" s="258">
        <v>0.13888623625729668</v>
      </c>
      <c r="J89" s="258">
        <v>0.13683454554496158</v>
      </c>
      <c r="K89" s="258">
        <v>0.13483289606951271</v>
      </c>
      <c r="L89" s="258">
        <v>0.13288006731297725</v>
      </c>
      <c r="M89" s="258">
        <v>0.13097486852611334</v>
      </c>
      <c r="N89" s="258">
        <v>0.1291161380023437</v>
      </c>
      <c r="O89" s="258">
        <v>0.1273027423693977</v>
      </c>
      <c r="P89" s="258">
        <v>0.12553357589823086</v>
      </c>
      <c r="Q89" s="258">
        <v>0.12380755982879982</v>
      </c>
      <c r="R89" s="258">
        <v>0.12212364171228171</v>
      </c>
      <c r="S89" s="258">
        <v>0.12048079476933722</v>
      </c>
      <c r="T89" s="258">
        <v>0.11887801726402553</v>
      </c>
      <c r="U89" s="258">
        <v>0.11731433189298975</v>
      </c>
      <c r="V89" s="258">
        <v>0.11578878518954017</v>
      </c>
      <c r="W89" s="258">
        <v>0.11430044694227229</v>
      </c>
      <c r="X89" s="258">
        <v>0.11284840962786463</v>
      </c>
      <c r="Y89" s="258">
        <v>0.1114317878577108</v>
      </c>
      <c r="Z89" s="258">
        <v>0.11004971783804852</v>
      </c>
      <c r="AA89" s="258">
        <v>0.10870135684325608</v>
      </c>
      <c r="AB89" s="258">
        <v>0.10738588270199514</v>
      </c>
      <c r="AC89" s="258">
        <v>0.10610249329588692</v>
      </c>
      <c r="AD89" s="258">
        <v>0.10485040607041546</v>
      </c>
      <c r="AE89" s="258">
        <v>0.10362885755776038</v>
      </c>
      <c r="AF89" s="258">
        <v>0.10243710291126763</v>
      </c>
      <c r="AG89" s="258">
        <v>9.95207390410284E-2</v>
      </c>
      <c r="AH89" s="258">
        <v>5.4766917051557479E-2</v>
      </c>
      <c r="AI89" s="258">
        <v>5.4766917051557479E-2</v>
      </c>
      <c r="AJ89" s="258">
        <v>5.4766917051557479E-2</v>
      </c>
      <c r="AK89" s="258">
        <v>5.4766917051557479E-2</v>
      </c>
      <c r="AL89" s="258">
        <v>5.4766917051557479E-2</v>
      </c>
      <c r="AM89" s="258">
        <v>5.4766917051557479E-2</v>
      </c>
      <c r="AN89" s="258">
        <v>5.4766917051557479E-2</v>
      </c>
      <c r="AO89" s="258">
        <v>5.4766917051557479E-2</v>
      </c>
      <c r="AP89" s="258">
        <v>5.4766917051557479E-2</v>
      </c>
      <c r="AQ89" s="258">
        <v>5.4766917051557479E-2</v>
      </c>
      <c r="AR89" s="258">
        <v>5.4766917051557479E-2</v>
      </c>
      <c r="AS89" s="258">
        <v>5.4766917051557479E-2</v>
      </c>
      <c r="AT89" s="258">
        <v>5.4766917051557479E-2</v>
      </c>
      <c r="AU89" s="258">
        <v>5.4766917051557479E-2</v>
      </c>
      <c r="AV89" s="258">
        <v>5.4766917051557479E-2</v>
      </c>
      <c r="AW89" s="258">
        <v>5.4766917051557479E-2</v>
      </c>
      <c r="AX89" s="258">
        <v>5.4766917051557479E-2</v>
      </c>
      <c r="AY89" s="258">
        <v>5.4766917051557479E-2</v>
      </c>
      <c r="AZ89" s="258">
        <v>5.4766917051557479E-2</v>
      </c>
      <c r="BA89" s="259">
        <v>5.4766917051557479E-2</v>
      </c>
    </row>
    <row r="90" spans="3:53" x14ac:dyDescent="0.2">
      <c r="C90" s="255" t="s">
        <v>280</v>
      </c>
      <c r="D90" s="257">
        <v>0.15879667999134611</v>
      </c>
      <c r="E90" s="258">
        <v>0.1578734070297253</v>
      </c>
      <c r="F90" s="258">
        <v>0.15628062609417293</v>
      </c>
      <c r="G90" s="258">
        <v>0.15417357605265505</v>
      </c>
      <c r="H90" s="258">
        <v>0.15262648657338618</v>
      </c>
      <c r="I90" s="258">
        <v>0.15054016560756434</v>
      </c>
      <c r="J90" s="278">
        <v>0.14844807169991642</v>
      </c>
      <c r="K90" s="278">
        <v>0.14683359791429262</v>
      </c>
      <c r="L90" s="278">
        <v>0.14552345548584494</v>
      </c>
      <c r="M90" s="278">
        <v>0.1436733835552837</v>
      </c>
      <c r="N90" s="278">
        <v>0.1418595083575383</v>
      </c>
      <c r="O90" s="278">
        <v>0.14029889582060001</v>
      </c>
      <c r="P90" s="278">
        <v>0.13778540522780586</v>
      </c>
      <c r="Q90" s="278">
        <v>0.13501199799311026</v>
      </c>
      <c r="R90" s="278">
        <v>0.13268836433474898</v>
      </c>
      <c r="S90" s="278">
        <v>0.12979906962383198</v>
      </c>
      <c r="T90" s="278">
        <v>0.12919814552247622</v>
      </c>
      <c r="U90" s="278">
        <v>0.12756799479553102</v>
      </c>
      <c r="V90" s="278">
        <v>0.12655916718903387</v>
      </c>
      <c r="W90" s="278">
        <v>0.12527025821062304</v>
      </c>
      <c r="X90" s="278">
        <v>0.12455935266528517</v>
      </c>
      <c r="Y90" s="278">
        <v>0.12333084963281518</v>
      </c>
      <c r="Z90" s="278">
        <v>0.12235301371923712</v>
      </c>
      <c r="AA90" s="278">
        <v>0.12112299614746969</v>
      </c>
      <c r="AB90" s="278">
        <v>0.1204497307011571</v>
      </c>
      <c r="AC90" s="278">
        <v>0.11924585201980725</v>
      </c>
      <c r="AD90" s="278">
        <v>0.11809163156431521</v>
      </c>
      <c r="AE90" s="278">
        <v>0.11692596218102394</v>
      </c>
      <c r="AF90" s="278">
        <v>0.11629455315092362</v>
      </c>
      <c r="AG90" s="278">
        <v>0.11445016990993634</v>
      </c>
      <c r="AH90" s="278">
        <v>0</v>
      </c>
      <c r="AI90" s="278">
        <v>0</v>
      </c>
      <c r="AJ90" s="278">
        <v>0</v>
      </c>
      <c r="AK90" s="278">
        <v>0</v>
      </c>
      <c r="AL90" s="278">
        <v>0</v>
      </c>
      <c r="AM90" s="278">
        <v>0</v>
      </c>
      <c r="AN90" s="278">
        <v>0</v>
      </c>
      <c r="AO90" s="278">
        <v>0</v>
      </c>
      <c r="AP90" s="278">
        <v>0</v>
      </c>
      <c r="AQ90" s="278">
        <v>0</v>
      </c>
      <c r="AR90" s="278">
        <v>0</v>
      </c>
      <c r="AS90" s="278">
        <v>0</v>
      </c>
      <c r="AT90" s="278">
        <v>0</v>
      </c>
      <c r="AU90" s="278">
        <v>0</v>
      </c>
      <c r="AV90" s="278">
        <v>0</v>
      </c>
      <c r="AW90" s="278">
        <v>0</v>
      </c>
      <c r="AX90" s="278">
        <v>0</v>
      </c>
      <c r="AY90" s="278">
        <v>0</v>
      </c>
      <c r="AZ90" s="278">
        <v>0</v>
      </c>
      <c r="BA90" s="279">
        <v>0</v>
      </c>
    </row>
    <row r="91" spans="3:53" x14ac:dyDescent="0.2">
      <c r="C91" s="256" t="s">
        <v>281</v>
      </c>
      <c r="D91" s="251">
        <v>0.25517470002689269</v>
      </c>
      <c r="E91" s="252">
        <v>0.25705041792844502</v>
      </c>
      <c r="F91" s="252">
        <v>0.25902401013021614</v>
      </c>
      <c r="G91" s="252">
        <v>0.26108295473014698</v>
      </c>
      <c r="H91" s="252">
        <v>0.26323848988540682</v>
      </c>
      <c r="I91" s="252">
        <v>0.26547812500478746</v>
      </c>
      <c r="J91" s="262">
        <v>0.26781312879262986</v>
      </c>
      <c r="K91" s="262">
        <v>0.27024291256510774</v>
      </c>
      <c r="L91" s="262">
        <v>0.27277877410179985</v>
      </c>
      <c r="M91" s="262">
        <v>0.27539640887443917</v>
      </c>
      <c r="N91" s="262">
        <v>0.27833271233683443</v>
      </c>
      <c r="O91" s="262">
        <v>0.28138532538101968</v>
      </c>
      <c r="P91" s="262">
        <v>0.28454185559100792</v>
      </c>
      <c r="Q91" s="262">
        <v>0.28780179534658062</v>
      </c>
      <c r="R91" s="262">
        <v>0.29117652151376311</v>
      </c>
      <c r="S91" s="262">
        <v>0.29467742303758682</v>
      </c>
      <c r="T91" s="262">
        <v>0.29828028433168968</v>
      </c>
      <c r="U91" s="262">
        <v>0.29754447814878604</v>
      </c>
      <c r="V91" s="262">
        <v>0.29682661845814845</v>
      </c>
      <c r="W91" s="262">
        <v>0.29612626754045318</v>
      </c>
      <c r="X91" s="262">
        <v>0.2954429983524578</v>
      </c>
      <c r="Y91" s="262">
        <v>0.27317345250984842</v>
      </c>
      <c r="Z91" s="262">
        <v>0.26811223083264285</v>
      </c>
      <c r="AA91" s="262">
        <v>0.26811223083264285</v>
      </c>
      <c r="AB91" s="262">
        <v>0.26811223083264285</v>
      </c>
      <c r="AC91" s="262">
        <v>0.26811223083264285</v>
      </c>
      <c r="AD91" s="262">
        <v>0.26811223083264285</v>
      </c>
      <c r="AE91" s="262">
        <v>0.26811223083264285</v>
      </c>
      <c r="AF91" s="262">
        <v>0.26811223083264285</v>
      </c>
      <c r="AG91" s="262">
        <v>0.26811223083264285</v>
      </c>
      <c r="AH91" s="262">
        <v>0</v>
      </c>
      <c r="AI91" s="262">
        <v>0</v>
      </c>
      <c r="AJ91" s="262">
        <v>0</v>
      </c>
      <c r="AK91" s="262">
        <v>0</v>
      </c>
      <c r="AL91" s="262">
        <v>0</v>
      </c>
      <c r="AM91" s="262">
        <v>0</v>
      </c>
      <c r="AN91" s="262">
        <v>0</v>
      </c>
      <c r="AO91" s="262">
        <v>0</v>
      </c>
      <c r="AP91" s="262">
        <v>0</v>
      </c>
      <c r="AQ91" s="262">
        <v>0</v>
      </c>
      <c r="AR91" s="262">
        <v>0</v>
      </c>
      <c r="AS91" s="262">
        <v>0</v>
      </c>
      <c r="AT91" s="262">
        <v>0</v>
      </c>
      <c r="AU91" s="262">
        <v>0</v>
      </c>
      <c r="AV91" s="262">
        <v>0</v>
      </c>
      <c r="AW91" s="262">
        <v>0</v>
      </c>
      <c r="AX91" s="262">
        <v>0</v>
      </c>
      <c r="AY91" s="262">
        <v>0</v>
      </c>
      <c r="AZ91" s="262">
        <v>0</v>
      </c>
      <c r="BA91" s="280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S112"/>
  <sheetViews>
    <sheetView topLeftCell="F1" workbookViewId="0">
      <selection activeCell="S13" sqref="S13"/>
    </sheetView>
  </sheetViews>
  <sheetFormatPr defaultRowHeight="15" x14ac:dyDescent="0.25"/>
  <cols>
    <col min="2" max="2" width="10.140625" customWidth="1"/>
    <col min="3" max="6" width="9.7109375" customWidth="1"/>
    <col min="14" max="16" width="9.7109375" customWidth="1"/>
  </cols>
  <sheetData>
    <row r="4" spans="2:19" x14ac:dyDescent="0.25">
      <c r="C4" t="s">
        <v>292</v>
      </c>
    </row>
    <row r="5" spans="2:19" x14ac:dyDescent="0.25">
      <c r="C5" t="s">
        <v>294</v>
      </c>
    </row>
    <row r="6" spans="2:19" x14ac:dyDescent="0.25">
      <c r="C6" t="s">
        <v>295</v>
      </c>
    </row>
    <row r="7" spans="2:19" x14ac:dyDescent="0.25">
      <c r="C7" t="s">
        <v>296</v>
      </c>
    </row>
    <row r="9" spans="2:19" ht="60" x14ac:dyDescent="0.25">
      <c r="B9" s="154" t="s">
        <v>305</v>
      </c>
      <c r="C9" s="155" t="s">
        <v>293</v>
      </c>
      <c r="D9" s="155" t="s">
        <v>297</v>
      </c>
      <c r="E9" s="155" t="s">
        <v>298</v>
      </c>
      <c r="F9" s="155" t="s">
        <v>299</v>
      </c>
      <c r="G9" s="155" t="s">
        <v>300</v>
      </c>
      <c r="H9" s="155" t="s">
        <v>301</v>
      </c>
      <c r="I9" s="155" t="s">
        <v>302</v>
      </c>
      <c r="J9" s="155" t="s">
        <v>303</v>
      </c>
      <c r="K9" s="156" t="s">
        <v>304</v>
      </c>
      <c r="L9" s="156" t="s">
        <v>306</v>
      </c>
      <c r="M9" s="156" t="s">
        <v>308</v>
      </c>
      <c r="N9" s="156" t="s">
        <v>310</v>
      </c>
      <c r="O9" s="156" t="s">
        <v>311</v>
      </c>
      <c r="P9" s="156" t="s">
        <v>312</v>
      </c>
      <c r="Q9" s="156" t="s">
        <v>309</v>
      </c>
      <c r="S9" s="156" t="s">
        <v>313</v>
      </c>
    </row>
    <row r="10" spans="2:19" x14ac:dyDescent="0.25">
      <c r="C10" s="12"/>
      <c r="D10" s="12"/>
      <c r="E10" s="12"/>
      <c r="F10" s="12"/>
      <c r="G10" s="12"/>
      <c r="H10" s="12"/>
      <c r="I10" s="12"/>
      <c r="J10" s="12"/>
    </row>
    <row r="11" spans="2:19" x14ac:dyDescent="0.25">
      <c r="B11" t="s">
        <v>307</v>
      </c>
      <c r="C11" s="12"/>
      <c r="D11" s="12"/>
      <c r="E11" s="12"/>
      <c r="F11" s="12"/>
      <c r="G11" s="12"/>
      <c r="H11" s="12"/>
      <c r="I11" s="12"/>
      <c r="J11">
        <f>SUM(J13:J62)</f>
        <v>87.6</v>
      </c>
      <c r="L11">
        <f>SUM(L13:L62)</f>
        <v>278.41133922116057</v>
      </c>
      <c r="N11" s="157"/>
      <c r="Q11">
        <f>Q62</f>
        <v>-24.584573528473008</v>
      </c>
    </row>
    <row r="12" spans="2:19" x14ac:dyDescent="0.25">
      <c r="C12" s="12"/>
      <c r="D12" s="12"/>
      <c r="E12" s="12"/>
      <c r="F12" s="12"/>
      <c r="G12" s="12"/>
      <c r="H12" s="12"/>
      <c r="I12" s="12"/>
      <c r="J12" s="12"/>
    </row>
    <row r="13" spans="2:19" x14ac:dyDescent="0.25">
      <c r="B13">
        <f>'Susitna rate analysis'!R44</f>
        <v>2024</v>
      </c>
      <c r="C13">
        <v>1</v>
      </c>
      <c r="J13">
        <f>SUM(D13:I13)</f>
        <v>0</v>
      </c>
      <c r="K13">
        <f>(1+'Susitna rate analysis'!$E$18)^('capital replacements'!B13-'Susitna rate analysis'!$F$44)</f>
        <v>1.3448888242462975</v>
      </c>
      <c r="L13">
        <f>J13*K13</f>
        <v>0</v>
      </c>
      <c r="M13">
        <v>0</v>
      </c>
      <c r="N13" s="158">
        <v>2.6705708511257287</v>
      </c>
      <c r="O13" s="149">
        <f t="shared" ref="O13:O44" si="0">-L13</f>
        <v>0</v>
      </c>
      <c r="P13">
        <f>(M13+(N13+O13)*1)*'Susitna rate analysis'!$E$12</f>
        <v>0.10682283404502915</v>
      </c>
      <c r="Q13">
        <f t="shared" ref="Q13:Q44" si="1">SUM(M13:P13)</f>
        <v>2.7773936851707579</v>
      </c>
      <c r="S13" s="159">
        <f>N13/K13</f>
        <v>1.9857186727849938</v>
      </c>
    </row>
    <row r="14" spans="2:19" x14ac:dyDescent="0.25">
      <c r="B14">
        <f>B13+1</f>
        <v>2025</v>
      </c>
      <c r="C14">
        <v>2</v>
      </c>
      <c r="J14">
        <f t="shared" ref="J14:J62" si="2">SUM(D14:I14)</f>
        <v>0</v>
      </c>
      <c r="K14">
        <f>(1+'Susitna rate analysis'!$E$18)^('capital replacements'!B14-'Susitna rate analysis'!$F$44)</f>
        <v>1.3785110448524549</v>
      </c>
      <c r="L14">
        <f t="shared" ref="L14:L77" si="3">J14*K14</f>
        <v>0</v>
      </c>
      <c r="M14">
        <f>Q13</f>
        <v>2.7773936851707579</v>
      </c>
      <c r="N14" s="149">
        <f>N13*1+'Susitna rate analysis'!$E$18</f>
        <v>2.6955708511257286</v>
      </c>
      <c r="O14" s="149">
        <f t="shared" si="0"/>
        <v>0</v>
      </c>
      <c r="P14">
        <f>(M14+(N14+O14)*1)*'Susitna rate analysis'!$E$12</f>
        <v>0.21891858145185947</v>
      </c>
      <c r="Q14">
        <f t="shared" si="1"/>
        <v>5.691883117748346</v>
      </c>
    </row>
    <row r="15" spans="2:19" x14ac:dyDescent="0.25">
      <c r="B15">
        <f t="shared" ref="B15:B78" si="4">B14+1</f>
        <v>2026</v>
      </c>
      <c r="C15">
        <v>3</v>
      </c>
      <c r="J15">
        <f t="shared" si="2"/>
        <v>0</v>
      </c>
      <c r="K15">
        <f>(1+'Susitna rate analysis'!$E$18)^('capital replacements'!B15-'Susitna rate analysis'!$F$44)</f>
        <v>1.4129738209737661</v>
      </c>
      <c r="L15">
        <f t="shared" si="3"/>
        <v>0</v>
      </c>
      <c r="M15">
        <f t="shared" ref="M15:M62" si="5">Q14</f>
        <v>5.691883117748346</v>
      </c>
      <c r="N15" s="149">
        <f>N14*1+'Susitna rate analysis'!$E$18</f>
        <v>2.7205708511257285</v>
      </c>
      <c r="O15" s="149">
        <f t="shared" si="0"/>
        <v>0</v>
      </c>
      <c r="P15">
        <f>(M15+(N15+O15)*1)*'Susitna rate analysis'!$E$12</f>
        <v>0.33649815875496303</v>
      </c>
      <c r="Q15">
        <f t="shared" si="1"/>
        <v>8.748952127629039</v>
      </c>
    </row>
    <row r="16" spans="2:19" x14ac:dyDescent="0.25">
      <c r="B16">
        <f t="shared" si="4"/>
        <v>2027</v>
      </c>
      <c r="C16">
        <v>4</v>
      </c>
      <c r="J16">
        <f t="shared" si="2"/>
        <v>0</v>
      </c>
      <c r="K16">
        <f>(1+'Susitna rate analysis'!$E$18)^('capital replacements'!B16-'Susitna rate analysis'!$F$44)</f>
        <v>1.4482981664981105</v>
      </c>
      <c r="L16">
        <f t="shared" si="3"/>
        <v>0</v>
      </c>
      <c r="M16">
        <f t="shared" si="5"/>
        <v>8.748952127629039</v>
      </c>
      <c r="N16" s="149">
        <f>N15*1+'Susitna rate analysis'!$E$18</f>
        <v>2.7455708511257284</v>
      </c>
      <c r="O16" s="149">
        <f t="shared" si="0"/>
        <v>0</v>
      </c>
      <c r="P16">
        <f>(M16+(N16+O16)*1)*'Susitna rate analysis'!$E$12</f>
        <v>0.4597809191501907</v>
      </c>
      <c r="Q16">
        <f t="shared" si="1"/>
        <v>11.954303897904959</v>
      </c>
    </row>
    <row r="17" spans="2:17" x14ac:dyDescent="0.25">
      <c r="B17">
        <f t="shared" si="4"/>
        <v>2028</v>
      </c>
      <c r="C17">
        <v>5</v>
      </c>
      <c r="J17">
        <f t="shared" si="2"/>
        <v>0</v>
      </c>
      <c r="K17">
        <f>(1+'Susitna rate analysis'!$E$18)^('capital replacements'!B17-'Susitna rate analysis'!$F$44)</f>
        <v>1.4845056206605631</v>
      </c>
      <c r="L17">
        <f t="shared" si="3"/>
        <v>0</v>
      </c>
      <c r="M17">
        <f t="shared" si="5"/>
        <v>11.954303897904959</v>
      </c>
      <c r="N17" s="149">
        <f>N16*1+'Susitna rate analysis'!$E$18</f>
        <v>2.7705708511257283</v>
      </c>
      <c r="O17" s="149">
        <f t="shared" si="0"/>
        <v>0</v>
      </c>
      <c r="P17">
        <f>(M17+(N17+O17)*1)*'Susitna rate analysis'!$E$12</f>
        <v>0.58899498996122746</v>
      </c>
      <c r="Q17">
        <f t="shared" si="1"/>
        <v>15.313869738991913</v>
      </c>
    </row>
    <row r="18" spans="2:17" x14ac:dyDescent="0.25">
      <c r="B18">
        <f t="shared" si="4"/>
        <v>2029</v>
      </c>
      <c r="C18">
        <v>6</v>
      </c>
      <c r="J18">
        <f t="shared" si="2"/>
        <v>0</v>
      </c>
      <c r="K18">
        <f>(1+'Susitna rate analysis'!$E$18)^('capital replacements'!B18-'Susitna rate analysis'!$F$44)</f>
        <v>1.521618261177077</v>
      </c>
      <c r="L18">
        <f t="shared" si="3"/>
        <v>0</v>
      </c>
      <c r="M18">
        <f t="shared" si="5"/>
        <v>15.313869738991913</v>
      </c>
      <c r="N18" s="149">
        <f>N17*1+'Susitna rate analysis'!$E$18</f>
        <v>2.7955708511257282</v>
      </c>
      <c r="O18" s="149">
        <f t="shared" si="0"/>
        <v>0</v>
      </c>
      <c r="P18">
        <f>(M18+(N18+O18)*1)*'Susitna rate analysis'!$E$12</f>
        <v>0.7243776236047057</v>
      </c>
      <c r="Q18">
        <f t="shared" si="1"/>
        <v>18.833818213722349</v>
      </c>
    </row>
    <row r="19" spans="2:17" x14ac:dyDescent="0.25">
      <c r="B19">
        <f t="shared" si="4"/>
        <v>2030</v>
      </c>
      <c r="C19">
        <v>7</v>
      </c>
      <c r="J19">
        <f t="shared" si="2"/>
        <v>0</v>
      </c>
      <c r="K19">
        <f>(1+'Susitna rate analysis'!$E$18)^('capital replacements'!B19-'Susitna rate analysis'!$F$44)</f>
        <v>1.559658717706504</v>
      </c>
      <c r="L19">
        <f t="shared" si="3"/>
        <v>0</v>
      </c>
      <c r="M19">
        <f t="shared" si="5"/>
        <v>18.833818213722349</v>
      </c>
      <c r="N19" s="149">
        <f>N18*1+'Susitna rate analysis'!$E$18</f>
        <v>2.8205708511257281</v>
      </c>
      <c r="O19" s="149">
        <f t="shared" si="0"/>
        <v>0</v>
      </c>
      <c r="P19">
        <f>(M19+(N19+O19)*1)*'Susitna rate analysis'!$E$12</f>
        <v>0.86617556259392303</v>
      </c>
      <c r="Q19">
        <f t="shared" si="1"/>
        <v>22.520564627441999</v>
      </c>
    </row>
    <row r="20" spans="2:17" x14ac:dyDescent="0.25">
      <c r="B20">
        <f t="shared" si="4"/>
        <v>2031</v>
      </c>
      <c r="C20">
        <v>8</v>
      </c>
      <c r="J20">
        <f t="shared" si="2"/>
        <v>0</v>
      </c>
      <c r="K20">
        <f>(1+'Susitna rate analysis'!$E$18)^('capital replacements'!B20-'Susitna rate analysis'!$F$44)</f>
        <v>1.5986501856491666</v>
      </c>
      <c r="L20">
        <f t="shared" si="3"/>
        <v>0</v>
      </c>
      <c r="M20">
        <f t="shared" si="5"/>
        <v>22.520564627441999</v>
      </c>
      <c r="N20" s="149">
        <f>N19*1+'Susitna rate analysis'!$E$18</f>
        <v>2.8455708511257281</v>
      </c>
      <c r="O20" s="149">
        <f t="shared" si="0"/>
        <v>0</v>
      </c>
      <c r="P20">
        <f>(M20+(N20+O20)*1)*'Susitna rate analysis'!$E$12</f>
        <v>1.0146454191427092</v>
      </c>
      <c r="Q20">
        <f t="shared" si="1"/>
        <v>26.380780897710437</v>
      </c>
    </row>
    <row r="21" spans="2:17" x14ac:dyDescent="0.25">
      <c r="B21">
        <f t="shared" si="4"/>
        <v>2032</v>
      </c>
      <c r="C21">
        <v>9</v>
      </c>
      <c r="J21">
        <f t="shared" si="2"/>
        <v>0</v>
      </c>
      <c r="K21">
        <f>(1+'Susitna rate analysis'!$E$18)^('capital replacements'!B21-'Susitna rate analysis'!$F$44)</f>
        <v>1.6386164402903955</v>
      </c>
      <c r="L21">
        <f t="shared" si="3"/>
        <v>0</v>
      </c>
      <c r="M21">
        <f t="shared" si="5"/>
        <v>26.380780897710437</v>
      </c>
      <c r="N21" s="149">
        <f>N20*1+'Susitna rate analysis'!$E$18</f>
        <v>2.870570851125728</v>
      </c>
      <c r="O21" s="149">
        <f t="shared" si="0"/>
        <v>0</v>
      </c>
      <c r="P21">
        <f>(M21+(N21+O21)*1)*'Susitna rate analysis'!$E$12</f>
        <v>1.1700540699534465</v>
      </c>
      <c r="Q21">
        <f t="shared" si="1"/>
        <v>30.421405818789612</v>
      </c>
    </row>
    <row r="22" spans="2:17" x14ac:dyDescent="0.25">
      <c r="B22">
        <f t="shared" si="4"/>
        <v>2033</v>
      </c>
      <c r="C22">
        <v>10</v>
      </c>
      <c r="J22">
        <f t="shared" si="2"/>
        <v>0</v>
      </c>
      <c r="K22">
        <f>(1+'Susitna rate analysis'!$E$18)^('capital replacements'!B22-'Susitna rate analysis'!$F$44)</f>
        <v>1.6795818512976552</v>
      </c>
      <c r="L22">
        <f t="shared" si="3"/>
        <v>0</v>
      </c>
      <c r="M22">
        <f t="shared" si="5"/>
        <v>30.421405818789612</v>
      </c>
      <c r="N22" s="149">
        <f>N21*1+'Susitna rate analysis'!$E$18</f>
        <v>2.8955708511257279</v>
      </c>
      <c r="O22" s="149">
        <f t="shared" si="0"/>
        <v>0</v>
      </c>
      <c r="P22">
        <f>(M22+(N22+O22)*1)*'Susitna rate analysis'!$E$12</f>
        <v>1.3326790667966137</v>
      </c>
      <c r="Q22">
        <f t="shared" si="1"/>
        <v>34.649655736711956</v>
      </c>
    </row>
    <row r="23" spans="2:17" x14ac:dyDescent="0.25">
      <c r="B23">
        <f t="shared" si="4"/>
        <v>2034</v>
      </c>
      <c r="C23">
        <v>11</v>
      </c>
      <c r="J23">
        <f t="shared" si="2"/>
        <v>0</v>
      </c>
      <c r="K23">
        <f>(1+'Susitna rate analysis'!$E$18)^('capital replacements'!B23-'Susitna rate analysis'!$F$44)</f>
        <v>1.7215713975800966</v>
      </c>
      <c r="L23">
        <f t="shared" si="3"/>
        <v>0</v>
      </c>
      <c r="M23">
        <f t="shared" si="5"/>
        <v>34.649655736711956</v>
      </c>
      <c r="N23" s="149">
        <f>N22*1+'Susitna rate analysis'!$E$18</f>
        <v>2.9205708511257278</v>
      </c>
      <c r="O23" s="149">
        <f t="shared" si="0"/>
        <v>0</v>
      </c>
      <c r="P23">
        <f>(M23+(N23+O23)*1)*'Susitna rate analysis'!$E$12</f>
        <v>1.5028090635135072</v>
      </c>
      <c r="Q23">
        <f t="shared" si="1"/>
        <v>39.073035651351191</v>
      </c>
    </row>
    <row r="24" spans="2:17" x14ac:dyDescent="0.25">
      <c r="B24">
        <f t="shared" si="4"/>
        <v>2035</v>
      </c>
      <c r="C24">
        <v>12</v>
      </c>
      <c r="J24">
        <f t="shared" si="2"/>
        <v>0</v>
      </c>
      <c r="K24">
        <f>(1+'Susitna rate analysis'!$E$18)^('capital replacements'!B24-'Susitna rate analysis'!$F$44)</f>
        <v>1.7646106825195991</v>
      </c>
      <c r="L24">
        <f t="shared" si="3"/>
        <v>0</v>
      </c>
      <c r="M24">
        <f t="shared" si="5"/>
        <v>39.073035651351191</v>
      </c>
      <c r="N24" s="149">
        <f>N23*1+'Susitna rate analysis'!$E$18</f>
        <v>2.9455708511257277</v>
      </c>
      <c r="O24" s="149">
        <f t="shared" si="0"/>
        <v>0</v>
      </c>
      <c r="P24">
        <f>(M24+(N24+O24)*1)*'Susitna rate analysis'!$E$12</f>
        <v>1.680744260099077</v>
      </c>
      <c r="Q24">
        <f t="shared" si="1"/>
        <v>43.699350762575996</v>
      </c>
    </row>
    <row r="25" spans="2:17" x14ac:dyDescent="0.25">
      <c r="B25">
        <f t="shared" si="4"/>
        <v>2036</v>
      </c>
      <c r="C25">
        <v>13</v>
      </c>
      <c r="J25">
        <f t="shared" si="2"/>
        <v>0</v>
      </c>
      <c r="K25">
        <f>(1+'Susitna rate analysis'!$E$18)^('capital replacements'!B25-'Susitna rate analysis'!$F$44)</f>
        <v>1.8087259495825889</v>
      </c>
      <c r="L25">
        <f t="shared" si="3"/>
        <v>0</v>
      </c>
      <c r="M25">
        <f t="shared" si="5"/>
        <v>43.699350762575996</v>
      </c>
      <c r="N25" s="149">
        <f>N24*1+'Susitna rate analysis'!$E$18</f>
        <v>2.9705708511257276</v>
      </c>
      <c r="O25" s="149">
        <f t="shared" si="0"/>
        <v>0</v>
      </c>
      <c r="P25">
        <f>(M25+(N25+O25)*1)*'Susitna rate analysis'!$E$12</f>
        <v>1.866796864548069</v>
      </c>
      <c r="Q25">
        <f t="shared" si="1"/>
        <v>48.536718478249796</v>
      </c>
    </row>
    <row r="26" spans="2:17" x14ac:dyDescent="0.25">
      <c r="B26">
        <f t="shared" si="4"/>
        <v>2037</v>
      </c>
      <c r="C26">
        <v>14</v>
      </c>
      <c r="J26">
        <f t="shared" si="2"/>
        <v>0</v>
      </c>
      <c r="K26">
        <f>(1+'Susitna rate analysis'!$E$18)^('capital replacements'!B26-'Susitna rate analysis'!$F$44)</f>
        <v>1.8539440983221533</v>
      </c>
      <c r="L26">
        <f t="shared" si="3"/>
        <v>0</v>
      </c>
      <c r="M26">
        <f t="shared" si="5"/>
        <v>48.536718478249796</v>
      </c>
      <c r="N26" s="149">
        <f>N25*1+'Susitna rate analysis'!$E$18</f>
        <v>2.9955708511257275</v>
      </c>
      <c r="O26" s="149">
        <f t="shared" si="0"/>
        <v>0</v>
      </c>
      <c r="P26">
        <f>(M26+(N26+O26)*1)*'Susitna rate analysis'!$E$12</f>
        <v>2.061291573175021</v>
      </c>
      <c r="Q26">
        <f t="shared" si="1"/>
        <v>53.593580902550542</v>
      </c>
    </row>
    <row r="27" spans="2:17" x14ac:dyDescent="0.25">
      <c r="B27">
        <f t="shared" si="4"/>
        <v>2038</v>
      </c>
      <c r="C27">
        <v>15</v>
      </c>
      <c r="J27">
        <f t="shared" si="2"/>
        <v>0</v>
      </c>
      <c r="K27">
        <f>(1+'Susitna rate analysis'!$E$18)^('capital replacements'!B27-'Susitna rate analysis'!$F$44)</f>
        <v>1.9002927007802071</v>
      </c>
      <c r="L27">
        <f t="shared" si="3"/>
        <v>0</v>
      </c>
      <c r="M27">
        <f t="shared" si="5"/>
        <v>53.593580902550542</v>
      </c>
      <c r="N27" s="149">
        <f>N26*1+'Susitna rate analysis'!$E$18</f>
        <v>3.0205708511257274</v>
      </c>
      <c r="O27" s="149">
        <f t="shared" si="0"/>
        <v>0</v>
      </c>
      <c r="P27">
        <f>(M27+(N27+O27)*1)*'Susitna rate analysis'!$E$12</f>
        <v>2.2645660701470507</v>
      </c>
      <c r="Q27">
        <f t="shared" si="1"/>
        <v>58.878717823823315</v>
      </c>
    </row>
    <row r="28" spans="2:17" x14ac:dyDescent="0.25">
      <c r="B28">
        <f t="shared" si="4"/>
        <v>2039</v>
      </c>
      <c r="C28">
        <v>16</v>
      </c>
      <c r="J28">
        <f t="shared" si="2"/>
        <v>0</v>
      </c>
      <c r="K28">
        <f>(1+'Susitna rate analysis'!$E$18)^('capital replacements'!B28-'Susitna rate analysis'!$F$44)</f>
        <v>1.9478000182997122</v>
      </c>
      <c r="L28">
        <f t="shared" si="3"/>
        <v>0</v>
      </c>
      <c r="M28">
        <f t="shared" si="5"/>
        <v>58.878717823823315</v>
      </c>
      <c r="N28" s="149">
        <f>N27*1+'Susitna rate analysis'!$E$18</f>
        <v>3.0455708511257273</v>
      </c>
      <c r="O28" s="149">
        <f t="shared" si="0"/>
        <v>0</v>
      </c>
      <c r="P28">
        <f>(M28+(N28+O28)*1)*'Susitna rate analysis'!$E$12</f>
        <v>2.4769715469979618</v>
      </c>
      <c r="Q28">
        <f t="shared" si="1"/>
        <v>64.401260221946998</v>
      </c>
    </row>
    <row r="29" spans="2:17" x14ac:dyDescent="0.25">
      <c r="B29">
        <f t="shared" si="4"/>
        <v>2040</v>
      </c>
      <c r="C29">
        <v>17</v>
      </c>
      <c r="J29">
        <f t="shared" si="2"/>
        <v>0</v>
      </c>
      <c r="K29">
        <f>(1+'Susitna rate analysis'!$E$18)^('capital replacements'!B29-'Susitna rate analysis'!$F$44)</f>
        <v>1.9964950187572048</v>
      </c>
      <c r="L29">
        <f t="shared" si="3"/>
        <v>0</v>
      </c>
      <c r="M29">
        <f t="shared" si="5"/>
        <v>64.401260221946998</v>
      </c>
      <c r="N29" s="149">
        <f>N28*1+'Susitna rate analysis'!$E$18</f>
        <v>3.0705708511257273</v>
      </c>
      <c r="O29" s="149">
        <f t="shared" si="0"/>
        <v>0</v>
      </c>
      <c r="P29">
        <f>(M29+(N29+O29)*1)*'Susitna rate analysis'!$E$12</f>
        <v>2.6988732429229088</v>
      </c>
      <c r="Q29">
        <f t="shared" si="1"/>
        <v>70.170704315995636</v>
      </c>
    </row>
    <row r="30" spans="2:17" x14ac:dyDescent="0.25">
      <c r="B30">
        <f t="shared" si="4"/>
        <v>2041</v>
      </c>
      <c r="C30">
        <v>18</v>
      </c>
      <c r="J30">
        <f t="shared" si="2"/>
        <v>0</v>
      </c>
      <c r="K30">
        <f>(1+'Susitna rate analysis'!$E$18)^('capital replacements'!B30-'Susitna rate analysis'!$F$44)</f>
        <v>2.0464073942261352</v>
      </c>
      <c r="L30">
        <f t="shared" si="3"/>
        <v>0</v>
      </c>
      <c r="M30">
        <f t="shared" si="5"/>
        <v>70.170704315995636</v>
      </c>
      <c r="N30" s="149">
        <f>N29*1+'Susitna rate analysis'!$E$18</f>
        <v>3.0955708511257272</v>
      </c>
      <c r="O30" s="149">
        <f t="shared" si="0"/>
        <v>0</v>
      </c>
      <c r="P30">
        <f>(M30+(N30+O30)*1)*'Susitna rate analysis'!$E$12</f>
        <v>2.9306510066848546</v>
      </c>
      <c r="Q30">
        <f t="shared" si="1"/>
        <v>76.196926173806219</v>
      </c>
    </row>
    <row r="31" spans="2:17" x14ac:dyDescent="0.25">
      <c r="B31">
        <f t="shared" si="4"/>
        <v>2042</v>
      </c>
      <c r="C31">
        <v>19</v>
      </c>
      <c r="J31">
        <f t="shared" si="2"/>
        <v>0</v>
      </c>
      <c r="K31">
        <f>(1+'Susitna rate analysis'!$E$18)^('capital replacements'!B31-'Susitna rate analysis'!$F$44)</f>
        <v>2.097567579081788</v>
      </c>
      <c r="L31">
        <f t="shared" si="3"/>
        <v>0</v>
      </c>
      <c r="M31">
        <f t="shared" si="5"/>
        <v>76.196926173806219</v>
      </c>
      <c r="N31" s="149">
        <f>N30*1+'Susitna rate analysis'!$E$18</f>
        <v>3.1205708511257271</v>
      </c>
      <c r="O31" s="149">
        <f t="shared" si="0"/>
        <v>0</v>
      </c>
      <c r="P31">
        <f>(M31+(N31+O31)*1)*'Susitna rate analysis'!$E$12</f>
        <v>3.1726998809972784</v>
      </c>
      <c r="Q31">
        <f t="shared" si="1"/>
        <v>82.490196905929224</v>
      </c>
    </row>
    <row r="32" spans="2:17" x14ac:dyDescent="0.25">
      <c r="B32">
        <f t="shared" si="4"/>
        <v>2043</v>
      </c>
      <c r="C32">
        <v>20</v>
      </c>
      <c r="D32">
        <f>5*4</f>
        <v>20</v>
      </c>
      <c r="E32">
        <f>0.5*4</f>
        <v>2</v>
      </c>
      <c r="J32">
        <f t="shared" si="2"/>
        <v>22</v>
      </c>
      <c r="K32">
        <f>(1+'Susitna rate analysis'!$E$18)^('capital replacements'!B32-'Susitna rate analysis'!$F$44)</f>
        <v>2.1500067685588333</v>
      </c>
      <c r="L32">
        <f t="shared" si="3"/>
        <v>47.300148908294332</v>
      </c>
      <c r="M32">
        <f t="shared" si="5"/>
        <v>82.490196905929224</v>
      </c>
      <c r="N32" s="149">
        <f>N31*1+'Susitna rate analysis'!$E$18</f>
        <v>3.145570851125727</v>
      </c>
      <c r="O32" s="149">
        <f t="shared" si="0"/>
        <v>-47.300148908294332</v>
      </c>
      <c r="P32">
        <f>(M32+(N32+O32)*1)*'Susitna rate analysis'!$E$12</f>
        <v>1.5334247539504247</v>
      </c>
      <c r="Q32">
        <f t="shared" si="1"/>
        <v>39.869043602711045</v>
      </c>
    </row>
    <row r="33" spans="2:17" x14ac:dyDescent="0.25">
      <c r="B33">
        <f t="shared" si="4"/>
        <v>2044</v>
      </c>
      <c r="C33">
        <v>21</v>
      </c>
      <c r="J33">
        <f t="shared" si="2"/>
        <v>0</v>
      </c>
      <c r="K33">
        <f>(1+'Susitna rate analysis'!$E$18)^('capital replacements'!B33-'Susitna rate analysis'!$F$44)</f>
        <v>2.2037569377728037</v>
      </c>
      <c r="L33">
        <f t="shared" si="3"/>
        <v>0</v>
      </c>
      <c r="M33">
        <f t="shared" si="5"/>
        <v>39.869043602711045</v>
      </c>
      <c r="N33" s="149">
        <f>N32*1+'Susitna rate analysis'!$E$18</f>
        <v>3.1705708511257269</v>
      </c>
      <c r="O33" s="149">
        <f t="shared" si="0"/>
        <v>0</v>
      </c>
      <c r="P33">
        <f>(M33+(N33+O33)*1)*'Susitna rate analysis'!$E$12</f>
        <v>1.7215845781534709</v>
      </c>
      <c r="Q33">
        <f t="shared" si="1"/>
        <v>44.761199031990238</v>
      </c>
    </row>
    <row r="34" spans="2:17" x14ac:dyDescent="0.25">
      <c r="B34">
        <f t="shared" si="4"/>
        <v>2045</v>
      </c>
      <c r="C34">
        <v>22</v>
      </c>
      <c r="J34">
        <f t="shared" si="2"/>
        <v>0</v>
      </c>
      <c r="K34">
        <f>(1+'Susitna rate analysis'!$E$18)^('capital replacements'!B34-'Susitna rate analysis'!$F$44)</f>
        <v>2.2588508612171236</v>
      </c>
      <c r="L34">
        <f t="shared" si="3"/>
        <v>0</v>
      </c>
      <c r="M34">
        <f t="shared" si="5"/>
        <v>44.761199031990238</v>
      </c>
      <c r="N34" s="149">
        <f>N33*1+'Susitna rate analysis'!$E$18</f>
        <v>3.1955708511257268</v>
      </c>
      <c r="O34" s="149">
        <f t="shared" si="0"/>
        <v>0</v>
      </c>
      <c r="P34">
        <f>(M34+(N34+O34)*1)*'Susitna rate analysis'!$E$12</f>
        <v>1.9182707953246387</v>
      </c>
      <c r="Q34">
        <f t="shared" si="1"/>
        <v>49.875040678440605</v>
      </c>
    </row>
    <row r="35" spans="2:17" x14ac:dyDescent="0.25">
      <c r="B35">
        <f t="shared" si="4"/>
        <v>2046</v>
      </c>
      <c r="C35">
        <v>23</v>
      </c>
      <c r="J35">
        <f t="shared" si="2"/>
        <v>0</v>
      </c>
      <c r="K35">
        <f>(1+'Susitna rate analysis'!$E$18)^('capital replacements'!B35-'Susitna rate analysis'!$F$44)</f>
        <v>2.3153221327475517</v>
      </c>
      <c r="L35">
        <f t="shared" si="3"/>
        <v>0</v>
      </c>
      <c r="M35">
        <f t="shared" si="5"/>
        <v>49.875040678440605</v>
      </c>
      <c r="N35" s="149">
        <f>N34*1+'Susitna rate analysis'!$E$18</f>
        <v>3.2205708511257267</v>
      </c>
      <c r="O35" s="149">
        <f t="shared" si="0"/>
        <v>0</v>
      </c>
      <c r="P35">
        <f>(M35+(N35+O35)*1)*'Susitna rate analysis'!$E$12</f>
        <v>2.1238244611826533</v>
      </c>
      <c r="Q35">
        <f t="shared" si="1"/>
        <v>55.219435990748984</v>
      </c>
    </row>
    <row r="36" spans="2:17" x14ac:dyDescent="0.25">
      <c r="B36">
        <f t="shared" si="4"/>
        <v>2047</v>
      </c>
      <c r="C36">
        <v>24</v>
      </c>
      <c r="J36">
        <f t="shared" si="2"/>
        <v>0</v>
      </c>
      <c r="K36">
        <f>(1+'Susitna rate analysis'!$E$18)^('capital replacements'!B36-'Susitna rate analysis'!$F$44)</f>
        <v>2.3732051860662402</v>
      </c>
      <c r="L36">
        <f t="shared" si="3"/>
        <v>0</v>
      </c>
      <c r="M36">
        <f t="shared" si="5"/>
        <v>55.219435990748984</v>
      </c>
      <c r="N36" s="149">
        <f>N35*1+'Susitna rate analysis'!$E$18</f>
        <v>3.2455708511257266</v>
      </c>
      <c r="O36" s="149">
        <f t="shared" si="0"/>
        <v>0</v>
      </c>
      <c r="P36">
        <f>(M36+(N36+O36)*1)*'Susitna rate analysis'!$E$12</f>
        <v>2.3386002736749885</v>
      </c>
      <c r="Q36">
        <f t="shared" si="1"/>
        <v>60.803607115549703</v>
      </c>
    </row>
    <row r="37" spans="2:17" x14ac:dyDescent="0.25">
      <c r="B37">
        <f t="shared" si="4"/>
        <v>2048</v>
      </c>
      <c r="C37">
        <v>25</v>
      </c>
      <c r="J37">
        <f t="shared" si="2"/>
        <v>0</v>
      </c>
      <c r="K37">
        <f>(1+'Susitna rate analysis'!$E$18)^('capital replacements'!B37-'Susitna rate analysis'!$F$44)</f>
        <v>2.4325353157178964</v>
      </c>
      <c r="L37">
        <f t="shared" si="3"/>
        <v>0</v>
      </c>
      <c r="M37">
        <f t="shared" si="5"/>
        <v>60.803607115549703</v>
      </c>
      <c r="N37" s="149">
        <f>N36*1+'Susitna rate analysis'!$E$18</f>
        <v>3.2705708511257265</v>
      </c>
      <c r="O37" s="149">
        <f t="shared" si="0"/>
        <v>0</v>
      </c>
      <c r="P37">
        <f>(M37+(N37+O37)*1)*'Susitna rate analysis'!$E$12</f>
        <v>2.5629671186670175</v>
      </c>
      <c r="Q37">
        <f t="shared" si="1"/>
        <v>66.637145085342453</v>
      </c>
    </row>
    <row r="38" spans="2:17" x14ac:dyDescent="0.25">
      <c r="B38">
        <f t="shared" si="4"/>
        <v>2049</v>
      </c>
      <c r="C38">
        <v>26</v>
      </c>
      <c r="J38">
        <f t="shared" si="2"/>
        <v>0</v>
      </c>
      <c r="K38">
        <f>(1+'Susitna rate analysis'!$E$18)^('capital replacements'!B38-'Susitna rate analysis'!$F$44)</f>
        <v>2.4933486986108435</v>
      </c>
      <c r="L38">
        <f t="shared" si="3"/>
        <v>0</v>
      </c>
      <c r="M38">
        <f t="shared" si="5"/>
        <v>66.637145085342453</v>
      </c>
      <c r="N38" s="149">
        <f>N37*1+'Susitna rate analysis'!$E$18</f>
        <v>3.2955708511257265</v>
      </c>
      <c r="O38" s="149">
        <f t="shared" si="0"/>
        <v>0</v>
      </c>
      <c r="P38">
        <f>(M38+(N38+O38)*1)*'Susitna rate analysis'!$E$12</f>
        <v>2.7973086374587273</v>
      </c>
      <c r="Q38">
        <f t="shared" si="1"/>
        <v>72.730024573926912</v>
      </c>
    </row>
    <row r="39" spans="2:17" x14ac:dyDescent="0.25">
      <c r="B39">
        <f t="shared" si="4"/>
        <v>2050</v>
      </c>
      <c r="C39">
        <v>27</v>
      </c>
      <c r="J39">
        <f t="shared" si="2"/>
        <v>0</v>
      </c>
      <c r="K39">
        <f>(1+'Susitna rate analysis'!$E$18)^('capital replacements'!B39-'Susitna rate analysis'!$F$44)</f>
        <v>2.555682416076114</v>
      </c>
      <c r="L39">
        <f t="shared" si="3"/>
        <v>0</v>
      </c>
      <c r="M39">
        <f t="shared" si="5"/>
        <v>72.730024573926912</v>
      </c>
      <c r="N39" s="149">
        <f>N38*1+'Susitna rate analysis'!$E$18</f>
        <v>3.3205708511257264</v>
      </c>
      <c r="O39" s="149">
        <f t="shared" si="0"/>
        <v>0</v>
      </c>
      <c r="P39">
        <f>(M39+(N39+O39)*1)*'Susitna rate analysis'!$E$12</f>
        <v>3.0420238170021054</v>
      </c>
      <c r="Q39">
        <f t="shared" si="1"/>
        <v>79.092619242054738</v>
      </c>
    </row>
    <row r="40" spans="2:17" x14ac:dyDescent="0.25">
      <c r="B40">
        <f t="shared" si="4"/>
        <v>2051</v>
      </c>
      <c r="C40">
        <v>28</v>
      </c>
      <c r="J40">
        <f t="shared" si="2"/>
        <v>0</v>
      </c>
      <c r="K40">
        <f>(1+'Susitna rate analysis'!$E$18)^('capital replacements'!B40-'Susitna rate analysis'!$F$44)</f>
        <v>2.6195744764780171</v>
      </c>
      <c r="L40">
        <f t="shared" si="3"/>
        <v>0</v>
      </c>
      <c r="M40">
        <f t="shared" si="5"/>
        <v>79.092619242054738</v>
      </c>
      <c r="N40" s="149">
        <f>N39*1+'Susitna rate analysis'!$E$18</f>
        <v>3.3455708511257263</v>
      </c>
      <c r="O40" s="149">
        <f t="shared" si="0"/>
        <v>0</v>
      </c>
      <c r="P40">
        <f>(M40+(N40+O40)*1)*'Susitna rate analysis'!$E$12</f>
        <v>3.2975276037272185</v>
      </c>
      <c r="Q40">
        <f t="shared" si="1"/>
        <v>85.735717696907685</v>
      </c>
    </row>
    <row r="41" spans="2:17" x14ac:dyDescent="0.25">
      <c r="B41">
        <f t="shared" si="4"/>
        <v>2052</v>
      </c>
      <c r="C41">
        <v>29</v>
      </c>
      <c r="J41">
        <f t="shared" si="2"/>
        <v>0</v>
      </c>
      <c r="K41">
        <f>(1+'Susitna rate analysis'!$E$18)^('capital replacements'!B41-'Susitna rate analysis'!$F$44)</f>
        <v>2.6850638383899672</v>
      </c>
      <c r="L41">
        <f t="shared" si="3"/>
        <v>0</v>
      </c>
      <c r="M41">
        <f t="shared" si="5"/>
        <v>85.735717696907685</v>
      </c>
      <c r="N41" s="149">
        <f>N40*1+'Susitna rate analysis'!$E$18</f>
        <v>3.3705708511257262</v>
      </c>
      <c r="O41" s="149">
        <f t="shared" si="0"/>
        <v>0</v>
      </c>
      <c r="P41">
        <f>(M41+(N41+O41)*1)*'Susitna rate analysis'!$E$12</f>
        <v>3.5642515419213363</v>
      </c>
      <c r="Q41">
        <f t="shared" si="1"/>
        <v>92.670540089954741</v>
      </c>
    </row>
    <row r="42" spans="2:17" x14ac:dyDescent="0.25">
      <c r="B42">
        <f t="shared" si="4"/>
        <v>2053</v>
      </c>
      <c r="C42">
        <v>30</v>
      </c>
      <c r="J42">
        <f t="shared" si="2"/>
        <v>0</v>
      </c>
      <c r="K42">
        <f>(1+'Susitna rate analysis'!$E$18)^('capital replacements'!B42-'Susitna rate analysis'!$F$44)</f>
        <v>2.7521904343497163</v>
      </c>
      <c r="L42">
        <f t="shared" si="3"/>
        <v>0</v>
      </c>
      <c r="M42">
        <f t="shared" si="5"/>
        <v>92.670540089954741</v>
      </c>
      <c r="N42" s="149">
        <f>N41*1+'Susitna rate analysis'!$E$18</f>
        <v>3.3955708511257261</v>
      </c>
      <c r="O42" s="149">
        <f t="shared" si="0"/>
        <v>0</v>
      </c>
      <c r="P42">
        <f>(M42+(N42+O42)*1)*'Susitna rate analysis'!$E$12</f>
        <v>3.8426444376432189</v>
      </c>
      <c r="Q42">
        <f t="shared" si="1"/>
        <v>99.908755378723683</v>
      </c>
    </row>
    <row r="43" spans="2:17" x14ac:dyDescent="0.25">
      <c r="B43">
        <f t="shared" si="4"/>
        <v>2054</v>
      </c>
      <c r="C43">
        <v>31</v>
      </c>
      <c r="J43">
        <f t="shared" si="2"/>
        <v>0</v>
      </c>
      <c r="K43">
        <f>(1+'Susitna rate analysis'!$E$18)^('capital replacements'!B43-'Susitna rate analysis'!$F$44)</f>
        <v>2.8209951952084591</v>
      </c>
      <c r="L43">
        <f t="shared" si="3"/>
        <v>0</v>
      </c>
      <c r="M43">
        <f t="shared" si="5"/>
        <v>99.908755378723683</v>
      </c>
      <c r="N43" s="149">
        <f>N42*1+'Susitna rate analysis'!$E$18</f>
        <v>3.420570851125726</v>
      </c>
      <c r="O43" s="149">
        <f t="shared" si="0"/>
        <v>0</v>
      </c>
      <c r="P43">
        <f>(M43+(N43+O43)*1)*'Susitna rate analysis'!$E$12</f>
        <v>4.1331730491939762</v>
      </c>
      <c r="Q43">
        <f t="shared" si="1"/>
        <v>107.46249927904339</v>
      </c>
    </row>
    <row r="44" spans="2:17" x14ac:dyDescent="0.25">
      <c r="B44">
        <f t="shared" si="4"/>
        <v>2055</v>
      </c>
      <c r="C44">
        <v>32</v>
      </c>
      <c r="J44">
        <f t="shared" si="2"/>
        <v>0</v>
      </c>
      <c r="K44">
        <f>(1+'Susitna rate analysis'!$E$18)^('capital replacements'!B44-'Susitna rate analysis'!$F$44)</f>
        <v>2.8915200750886707</v>
      </c>
      <c r="L44">
        <f t="shared" si="3"/>
        <v>0</v>
      </c>
      <c r="M44">
        <f t="shared" si="5"/>
        <v>107.46249927904339</v>
      </c>
      <c r="N44" s="149">
        <f>N43*1+'Susitna rate analysis'!$E$18</f>
        <v>3.4455708511257259</v>
      </c>
      <c r="O44" s="149">
        <f t="shared" si="0"/>
        <v>0</v>
      </c>
      <c r="P44">
        <f>(M44+(N44+O44)*1)*'Susitna rate analysis'!$E$12</f>
        <v>4.436322805206764</v>
      </c>
      <c r="Q44">
        <f t="shared" si="1"/>
        <v>115.34439293537588</v>
      </c>
    </row>
    <row r="45" spans="2:17" x14ac:dyDescent="0.25">
      <c r="B45">
        <f t="shared" si="4"/>
        <v>2056</v>
      </c>
      <c r="C45">
        <v>33</v>
      </c>
      <c r="J45">
        <f t="shared" si="2"/>
        <v>0</v>
      </c>
      <c r="K45">
        <f>(1+'Susitna rate analysis'!$E$18)^('capital replacements'!B45-'Susitna rate analysis'!$F$44)</f>
        <v>2.9638080769658868</v>
      </c>
      <c r="L45">
        <f t="shared" si="3"/>
        <v>0</v>
      </c>
      <c r="M45">
        <f t="shared" si="5"/>
        <v>115.34439293537588</v>
      </c>
      <c r="N45" s="149">
        <f>N44*1+'Susitna rate analysis'!$E$18</f>
        <v>3.4705708511257258</v>
      </c>
      <c r="O45" s="149">
        <f t="shared" ref="O45:O62" si="6">-L45</f>
        <v>0</v>
      </c>
      <c r="P45">
        <f>(M45+(N45+O45)*1)*'Susitna rate analysis'!$E$12</f>
        <v>4.7525985514600642</v>
      </c>
      <c r="Q45">
        <f t="shared" ref="Q45:Q62" si="7">SUM(M45:P45)</f>
        <v>123.56756233796168</v>
      </c>
    </row>
    <row r="46" spans="2:17" x14ac:dyDescent="0.25">
      <c r="B46">
        <f t="shared" si="4"/>
        <v>2057</v>
      </c>
      <c r="C46">
        <v>34</v>
      </c>
      <c r="J46">
        <f t="shared" si="2"/>
        <v>0</v>
      </c>
      <c r="K46">
        <f>(1+'Susitna rate analysis'!$E$18)^('capital replacements'!B46-'Susitna rate analysis'!$F$44)</f>
        <v>3.0379032788900342</v>
      </c>
      <c r="L46">
        <f t="shared" si="3"/>
        <v>0</v>
      </c>
      <c r="M46">
        <f t="shared" si="5"/>
        <v>123.56756233796168</v>
      </c>
      <c r="N46" s="149">
        <f>N45*1+'Susitna rate analysis'!$E$18</f>
        <v>3.4955708511257257</v>
      </c>
      <c r="O46" s="149">
        <f t="shared" si="6"/>
        <v>0</v>
      </c>
      <c r="P46">
        <f>(M46+(N46+O46)*1)*'Susitna rate analysis'!$E$12</f>
        <v>5.0825253275634958</v>
      </c>
      <c r="Q46">
        <f t="shared" si="7"/>
        <v>132.14565851665088</v>
      </c>
    </row>
    <row r="47" spans="2:17" x14ac:dyDescent="0.25">
      <c r="B47">
        <f t="shared" si="4"/>
        <v>2058</v>
      </c>
      <c r="C47">
        <v>35</v>
      </c>
      <c r="J47">
        <f t="shared" si="2"/>
        <v>0</v>
      </c>
      <c r="K47">
        <f>(1+'Susitna rate analysis'!$E$18)^('capital replacements'!B47-'Susitna rate analysis'!$F$44)</f>
        <v>3.1138508608622844</v>
      </c>
      <c r="L47">
        <f t="shared" si="3"/>
        <v>0</v>
      </c>
      <c r="M47">
        <f t="shared" si="5"/>
        <v>132.14565851665088</v>
      </c>
      <c r="N47" s="149">
        <f>N46*1+'Susitna rate analysis'!$E$18</f>
        <v>3.5205708511257257</v>
      </c>
      <c r="O47" s="149">
        <f t="shared" si="6"/>
        <v>0</v>
      </c>
      <c r="P47">
        <f>(M47+(N47+O47)*1)*'Susitna rate analysis'!$E$12</f>
        <v>5.4266491747110654</v>
      </c>
      <c r="Q47">
        <f t="shared" si="7"/>
        <v>141.09287854248768</v>
      </c>
    </row>
    <row r="48" spans="2:17" x14ac:dyDescent="0.25">
      <c r="B48">
        <f t="shared" si="4"/>
        <v>2059</v>
      </c>
      <c r="C48">
        <v>36</v>
      </c>
      <c r="J48">
        <f t="shared" si="2"/>
        <v>0</v>
      </c>
      <c r="K48">
        <f>(1+'Susitna rate analysis'!$E$18)^('capital replacements'!B48-'Susitna rate analysis'!$F$44)</f>
        <v>3.1916971323838421</v>
      </c>
      <c r="L48">
        <f t="shared" si="3"/>
        <v>0</v>
      </c>
      <c r="M48">
        <f t="shared" si="5"/>
        <v>141.09287854248768</v>
      </c>
      <c r="N48" s="149">
        <f>N47*1+'Susitna rate analysis'!$E$18</f>
        <v>3.5455708511257256</v>
      </c>
      <c r="O48" s="149">
        <f t="shared" si="6"/>
        <v>0</v>
      </c>
      <c r="P48">
        <f>(M48+(N48+O48)*1)*'Susitna rate analysis'!$E$12</f>
        <v>5.7855379757445364</v>
      </c>
      <c r="Q48">
        <f t="shared" si="7"/>
        <v>150.42398736935795</v>
      </c>
    </row>
    <row r="49" spans="2:17" x14ac:dyDescent="0.25">
      <c r="B49">
        <f t="shared" si="4"/>
        <v>2060</v>
      </c>
      <c r="C49">
        <v>37</v>
      </c>
      <c r="J49">
        <f t="shared" si="2"/>
        <v>0</v>
      </c>
      <c r="K49">
        <f>(1+'Susitna rate analysis'!$E$18)^('capital replacements'!B49-'Susitna rate analysis'!$F$44)</f>
        <v>3.2714895606934378</v>
      </c>
      <c r="L49">
        <f t="shared" si="3"/>
        <v>0</v>
      </c>
      <c r="M49">
        <f t="shared" si="5"/>
        <v>150.42398736935795</v>
      </c>
      <c r="N49" s="149">
        <f>N48*1+'Susitna rate analysis'!$E$18</f>
        <v>3.5705708511257255</v>
      </c>
      <c r="O49" s="149">
        <f t="shared" si="6"/>
        <v>0</v>
      </c>
      <c r="P49">
        <f>(M49+(N49+O49)*1)*'Susitna rate analysis'!$E$12</f>
        <v>6.1597823288193467</v>
      </c>
      <c r="Q49">
        <f t="shared" si="7"/>
        <v>160.15434054930301</v>
      </c>
    </row>
    <row r="50" spans="2:17" x14ac:dyDescent="0.25">
      <c r="B50">
        <f t="shared" si="4"/>
        <v>2061</v>
      </c>
      <c r="C50">
        <v>38</v>
      </c>
      <c r="J50">
        <f t="shared" si="2"/>
        <v>0</v>
      </c>
      <c r="K50">
        <f>(1+'Susitna rate analysis'!$E$18)^('capital replacements'!B50-'Susitna rate analysis'!$F$44)</f>
        <v>3.3532767997107733</v>
      </c>
      <c r="L50">
        <f t="shared" si="3"/>
        <v>0</v>
      </c>
      <c r="M50">
        <f t="shared" si="5"/>
        <v>160.15434054930301</v>
      </c>
      <c r="N50" s="149">
        <f>N49*1+'Susitna rate analysis'!$E$18</f>
        <v>3.5955708511257254</v>
      </c>
      <c r="O50" s="149">
        <f t="shared" si="6"/>
        <v>0</v>
      </c>
      <c r="P50">
        <f>(M50+(N50+O50)*1)*'Susitna rate analysis'!$E$12</f>
        <v>6.5499964560171495</v>
      </c>
      <c r="Q50">
        <f t="shared" si="7"/>
        <v>170.29990785644588</v>
      </c>
    </row>
    <row r="51" spans="2:17" x14ac:dyDescent="0.25">
      <c r="B51">
        <f t="shared" si="4"/>
        <v>2062</v>
      </c>
      <c r="C51">
        <v>39</v>
      </c>
      <c r="J51">
        <f t="shared" si="2"/>
        <v>0</v>
      </c>
      <c r="K51">
        <f>(1+'Susitna rate analysis'!$E$18)^('capital replacements'!B51-'Susitna rate analysis'!$F$44)</f>
        <v>3.4371087197035428</v>
      </c>
      <c r="L51">
        <f t="shared" si="3"/>
        <v>0</v>
      </c>
      <c r="M51">
        <f t="shared" si="5"/>
        <v>170.29990785644588</v>
      </c>
      <c r="N51" s="149">
        <f>N50*1+'Susitna rate analysis'!$E$18</f>
        <v>3.6205708511257253</v>
      </c>
      <c r="O51" s="149">
        <f t="shared" si="6"/>
        <v>0</v>
      </c>
      <c r="P51">
        <f>(M51+(N51+O51)*1)*'Susitna rate analysis'!$E$12</f>
        <v>6.9568191483028645</v>
      </c>
      <c r="Q51">
        <f t="shared" si="7"/>
        <v>180.87729785587447</v>
      </c>
    </row>
    <row r="52" spans="2:17" x14ac:dyDescent="0.25">
      <c r="B52">
        <f t="shared" si="4"/>
        <v>2063</v>
      </c>
      <c r="C52">
        <v>40</v>
      </c>
      <c r="D52">
        <f>5*4</f>
        <v>20</v>
      </c>
      <c r="E52">
        <f>0.5*4</f>
        <v>2</v>
      </c>
      <c r="F52">
        <f>10*4</f>
        <v>40</v>
      </c>
      <c r="G52">
        <f>0.4*9</f>
        <v>3.6</v>
      </c>
      <c r="J52">
        <f t="shared" si="2"/>
        <v>65.599999999999994</v>
      </c>
      <c r="K52">
        <f>(1+'Susitna rate analysis'!$E$18)^('capital replacements'!B52-'Susitna rate analysis'!$F$44)</f>
        <v>3.5230364376961316</v>
      </c>
      <c r="L52">
        <f t="shared" si="3"/>
        <v>231.11119031286623</v>
      </c>
      <c r="M52">
        <f t="shared" si="5"/>
        <v>180.87729785587447</v>
      </c>
      <c r="N52" s="149">
        <f>N51*1+'Susitna rate analysis'!$E$18</f>
        <v>3.6455708511257252</v>
      </c>
      <c r="O52" s="149">
        <f t="shared" si="6"/>
        <v>-231.11119031286623</v>
      </c>
      <c r="P52">
        <f>(M52+(N52+O52)*1)*'Susitna rate analysis'!$E$12</f>
        <v>-1.8635328642346418</v>
      </c>
      <c r="Q52">
        <f t="shared" si="7"/>
        <v>-48.451854470100685</v>
      </c>
    </row>
    <row r="53" spans="2:17" x14ac:dyDescent="0.25">
      <c r="B53">
        <f t="shared" si="4"/>
        <v>2064</v>
      </c>
      <c r="C53">
        <v>41</v>
      </c>
      <c r="J53">
        <f t="shared" si="2"/>
        <v>0</v>
      </c>
      <c r="K53">
        <f>(1+'Susitna rate analysis'!$E$18)^('capital replacements'!B53-'Susitna rate analysis'!$F$44)</f>
        <v>3.6111123486385344</v>
      </c>
      <c r="L53">
        <f t="shared" si="3"/>
        <v>0</v>
      </c>
      <c r="M53">
        <f t="shared" si="5"/>
        <v>-48.451854470100685</v>
      </c>
      <c r="N53" s="149">
        <f>N52*1+'Susitna rate analysis'!$E$18</f>
        <v>3.6705708511257251</v>
      </c>
      <c r="O53" s="149">
        <f t="shared" si="6"/>
        <v>0</v>
      </c>
      <c r="P53">
        <f>(M53+(N53+O53)*1)*'Susitna rate analysis'!$E$12</f>
        <v>-1.7912513447589984</v>
      </c>
      <c r="Q53">
        <f t="shared" si="7"/>
        <v>-46.572534963733958</v>
      </c>
    </row>
    <row r="54" spans="2:17" x14ac:dyDescent="0.25">
      <c r="B54">
        <f t="shared" si="4"/>
        <v>2065</v>
      </c>
      <c r="C54">
        <v>42</v>
      </c>
      <c r="J54">
        <f t="shared" si="2"/>
        <v>0</v>
      </c>
      <c r="K54">
        <f>(1+'Susitna rate analysis'!$E$18)^('capital replacements'!B54-'Susitna rate analysis'!$F$44)</f>
        <v>3.7013901573544974</v>
      </c>
      <c r="L54">
        <f t="shared" si="3"/>
        <v>0</v>
      </c>
      <c r="M54">
        <f t="shared" si="5"/>
        <v>-46.572534963733958</v>
      </c>
      <c r="N54" s="149">
        <f>N53*1+'Susitna rate analysis'!$E$18</f>
        <v>3.695570851125725</v>
      </c>
      <c r="O54" s="149">
        <f t="shared" si="6"/>
        <v>0</v>
      </c>
      <c r="P54">
        <f>(M54+(N54+O54)*1)*'Susitna rate analysis'!$E$12</f>
        <v>-1.7150785645043294</v>
      </c>
      <c r="Q54">
        <f t="shared" si="7"/>
        <v>-44.592042677112566</v>
      </c>
    </row>
    <row r="55" spans="2:17" x14ac:dyDescent="0.25">
      <c r="B55">
        <f t="shared" si="4"/>
        <v>2066</v>
      </c>
      <c r="C55">
        <v>43</v>
      </c>
      <c r="J55">
        <f t="shared" si="2"/>
        <v>0</v>
      </c>
      <c r="K55">
        <f>(1+'Susitna rate analysis'!$E$18)^('capital replacements'!B55-'Susitna rate analysis'!$F$44)</f>
        <v>3.7939249112883595</v>
      </c>
      <c r="L55">
        <f t="shared" si="3"/>
        <v>0</v>
      </c>
      <c r="M55">
        <f t="shared" si="5"/>
        <v>-44.592042677112566</v>
      </c>
      <c r="N55" s="149">
        <f>N54*1+'Susitna rate analysis'!$E$18</f>
        <v>3.7205708511257249</v>
      </c>
      <c r="O55" s="149">
        <f t="shared" si="6"/>
        <v>0</v>
      </c>
      <c r="P55">
        <f>(M55+(N55+O55)*1)*'Susitna rate analysis'!$E$12</f>
        <v>-1.6348588730394737</v>
      </c>
      <c r="Q55">
        <f t="shared" si="7"/>
        <v>-42.506330699026321</v>
      </c>
    </row>
    <row r="56" spans="2:17" x14ac:dyDescent="0.25">
      <c r="B56">
        <f t="shared" si="4"/>
        <v>2067</v>
      </c>
      <c r="C56">
        <v>44</v>
      </c>
      <c r="J56">
        <f t="shared" si="2"/>
        <v>0</v>
      </c>
      <c r="K56">
        <f>(1+'Susitna rate analysis'!$E$18)^('capital replacements'!B56-'Susitna rate analysis'!$F$44)</f>
        <v>3.8887730340705686</v>
      </c>
      <c r="L56">
        <f t="shared" si="3"/>
        <v>0</v>
      </c>
      <c r="M56">
        <f t="shared" si="5"/>
        <v>-42.506330699026321</v>
      </c>
      <c r="N56" s="149">
        <f>N55*1+'Susitna rate analysis'!$E$18</f>
        <v>3.7455708511257249</v>
      </c>
      <c r="O56" s="149">
        <f t="shared" si="6"/>
        <v>0</v>
      </c>
      <c r="P56">
        <f>(M56+(N56+O56)*1)*'Susitna rate analysis'!$E$12</f>
        <v>-1.5504303939160238</v>
      </c>
      <c r="Q56">
        <f t="shared" si="7"/>
        <v>-40.311190241816618</v>
      </c>
    </row>
    <row r="57" spans="2:17" x14ac:dyDescent="0.25">
      <c r="B57">
        <f t="shared" si="4"/>
        <v>2068</v>
      </c>
      <c r="C57">
        <v>45</v>
      </c>
      <c r="J57">
        <f t="shared" si="2"/>
        <v>0</v>
      </c>
      <c r="K57">
        <f>(1+'Susitna rate analysis'!$E$18)^('capital replacements'!B57-'Susitna rate analysis'!$F$44)</f>
        <v>3.9859923599223328</v>
      </c>
      <c r="L57">
        <f t="shared" si="3"/>
        <v>0</v>
      </c>
      <c r="M57">
        <f t="shared" si="5"/>
        <v>-40.311190241816618</v>
      </c>
      <c r="N57" s="149">
        <f>N56*1+'Susitna rate analysis'!$E$18</f>
        <v>3.7705708511257248</v>
      </c>
      <c r="O57" s="149">
        <f t="shared" si="6"/>
        <v>0</v>
      </c>
      <c r="P57">
        <f>(M57+(N57+O57)*1)*'Susitna rate analysis'!$E$12</f>
        <v>-1.4616247756276357</v>
      </c>
      <c r="Q57">
        <f t="shared" si="7"/>
        <v>-38.002244166318526</v>
      </c>
    </row>
    <row r="58" spans="2:17" x14ac:dyDescent="0.25">
      <c r="B58">
        <f t="shared" si="4"/>
        <v>2069</v>
      </c>
      <c r="C58">
        <v>46</v>
      </c>
      <c r="J58">
        <f t="shared" si="2"/>
        <v>0</v>
      </c>
      <c r="K58">
        <f>(1+'Susitna rate analysis'!$E$18)^('capital replacements'!B58-'Susitna rate analysis'!$F$44)</f>
        <v>4.0856421689203906</v>
      </c>
      <c r="L58">
        <f t="shared" si="3"/>
        <v>0</v>
      </c>
      <c r="M58">
        <f t="shared" si="5"/>
        <v>-38.002244166318526</v>
      </c>
      <c r="N58" s="149">
        <f>N57*1+'Susitna rate analysis'!$E$18</f>
        <v>3.7955708511257247</v>
      </c>
      <c r="O58" s="149">
        <f t="shared" si="6"/>
        <v>0</v>
      </c>
      <c r="P58">
        <f>(M58+(N58+O58)*1)*'Susitna rate analysis'!$E$12</f>
        <v>-1.3682669326077121</v>
      </c>
      <c r="Q58">
        <f t="shared" si="7"/>
        <v>-35.574940247800512</v>
      </c>
    </row>
    <row r="59" spans="2:17" x14ac:dyDescent="0.25">
      <c r="B59">
        <f t="shared" si="4"/>
        <v>2070</v>
      </c>
      <c r="C59">
        <v>47</v>
      </c>
      <c r="J59">
        <f t="shared" si="2"/>
        <v>0</v>
      </c>
      <c r="K59">
        <f>(1+'Susitna rate analysis'!$E$18)^('capital replacements'!B59-'Susitna rate analysis'!$F$44)</f>
        <v>4.1877832231434002</v>
      </c>
      <c r="L59">
        <f t="shared" si="3"/>
        <v>0</v>
      </c>
      <c r="M59">
        <f t="shared" si="5"/>
        <v>-35.574940247800512</v>
      </c>
      <c r="N59" s="149">
        <f>N58*1+'Susitna rate analysis'!$E$18</f>
        <v>3.8205708511257246</v>
      </c>
      <c r="O59" s="149">
        <f t="shared" si="6"/>
        <v>0</v>
      </c>
      <c r="P59">
        <f>(M59+(N59+O59)*1)*'Susitna rate analysis'!$E$12</f>
        <v>-1.2701747758669917</v>
      </c>
      <c r="Q59">
        <f t="shared" si="7"/>
        <v>-33.024544172541781</v>
      </c>
    </row>
    <row r="60" spans="2:17" x14ac:dyDescent="0.25">
      <c r="B60">
        <f t="shared" si="4"/>
        <v>2071</v>
      </c>
      <c r="C60">
        <v>48</v>
      </c>
      <c r="J60">
        <f t="shared" si="2"/>
        <v>0</v>
      </c>
      <c r="K60">
        <f>(1+'Susitna rate analysis'!$E$18)^('capital replacements'!B60-'Susitna rate analysis'!$F$44)</f>
        <v>4.2924778037219848</v>
      </c>
      <c r="L60">
        <f t="shared" si="3"/>
        <v>0</v>
      </c>
      <c r="M60">
        <f t="shared" si="5"/>
        <v>-33.024544172541781</v>
      </c>
      <c r="N60" s="149">
        <f>N59*1+'Susitna rate analysis'!$E$18</f>
        <v>3.8455708511257245</v>
      </c>
      <c r="O60" s="149">
        <f t="shared" si="6"/>
        <v>0</v>
      </c>
      <c r="P60">
        <f>(M60+(N60+O60)*1)*'Susitna rate analysis'!$E$12</f>
        <v>-1.1671589328566423</v>
      </c>
      <c r="Q60">
        <f t="shared" si="7"/>
        <v>-30.346132254272696</v>
      </c>
    </row>
    <row r="61" spans="2:17" x14ac:dyDescent="0.25">
      <c r="B61">
        <f t="shared" si="4"/>
        <v>2072</v>
      </c>
      <c r="C61">
        <v>49</v>
      </c>
      <c r="J61">
        <f t="shared" si="2"/>
        <v>0</v>
      </c>
      <c r="K61">
        <f>(1+'Susitna rate analysis'!$E$18)^('capital replacements'!B61-'Susitna rate analysis'!$F$44)</f>
        <v>4.3997897488150342</v>
      </c>
      <c r="L61">
        <f t="shared" si="3"/>
        <v>0</v>
      </c>
      <c r="M61">
        <f t="shared" si="5"/>
        <v>-30.346132254272696</v>
      </c>
      <c r="N61" s="149">
        <f>N60*1+'Susitna rate analysis'!$E$18</f>
        <v>3.8705708511257244</v>
      </c>
      <c r="O61" s="149">
        <f t="shared" si="6"/>
        <v>0</v>
      </c>
      <c r="P61">
        <f>(M61+(N61+O61)*1)*'Susitna rate analysis'!$E$12</f>
        <v>-1.059022456125879</v>
      </c>
      <c r="Q61">
        <f t="shared" si="7"/>
        <v>-27.53458385927285</v>
      </c>
    </row>
    <row r="62" spans="2:17" x14ac:dyDescent="0.25">
      <c r="B62">
        <f t="shared" si="4"/>
        <v>2073</v>
      </c>
      <c r="C62" s="153">
        <v>50</v>
      </c>
      <c r="D62" s="153"/>
      <c r="E62" s="153"/>
      <c r="F62" s="153"/>
      <c r="G62" s="153"/>
      <c r="H62" s="153"/>
      <c r="I62" s="153"/>
      <c r="J62">
        <f t="shared" si="2"/>
        <v>0</v>
      </c>
      <c r="K62">
        <f>(1+'Susitna rate analysis'!$E$18)^('capital replacements'!B62-'Susitna rate analysis'!$F$44)</f>
        <v>4.5097844925354105</v>
      </c>
      <c r="L62">
        <f t="shared" si="3"/>
        <v>0</v>
      </c>
      <c r="M62">
        <f t="shared" si="5"/>
        <v>-27.53458385927285</v>
      </c>
      <c r="N62" s="149">
        <f>N61*1+'Susitna rate analysis'!$E$18</f>
        <v>3.8955708511257243</v>
      </c>
      <c r="O62" s="149">
        <f t="shared" si="6"/>
        <v>0</v>
      </c>
      <c r="P62">
        <f>(M62+(N62+O62)*1)*'Susitna rate analysis'!$E$12</f>
        <v>-0.945560520325885</v>
      </c>
      <c r="Q62">
        <f t="shared" si="7"/>
        <v>-24.584573528473008</v>
      </c>
    </row>
    <row r="63" spans="2:17" x14ac:dyDescent="0.25">
      <c r="B63">
        <f t="shared" si="4"/>
        <v>2074</v>
      </c>
      <c r="C63">
        <v>51</v>
      </c>
      <c r="H63">
        <f>12.5+10+25</f>
        <v>47.5</v>
      </c>
      <c r="I63">
        <v>100</v>
      </c>
      <c r="K63">
        <f>(1+'Susitna rate analysis'!$E$18)^('capital replacements'!B63-'Susitna rate analysis'!$F$44)</f>
        <v>4.6225291048487946</v>
      </c>
      <c r="L63">
        <f t="shared" si="3"/>
        <v>0</v>
      </c>
    </row>
    <row r="64" spans="2:17" x14ac:dyDescent="0.25">
      <c r="B64">
        <f t="shared" si="4"/>
        <v>2075</v>
      </c>
      <c r="C64">
        <v>52</v>
      </c>
      <c r="K64">
        <f>(1+'Susitna rate analysis'!$E$18)^('capital replacements'!B64-'Susitna rate analysis'!$F$44)</f>
        <v>4.7380923324700159</v>
      </c>
      <c r="L64">
        <f t="shared" si="3"/>
        <v>0</v>
      </c>
    </row>
    <row r="65" spans="2:12" x14ac:dyDescent="0.25">
      <c r="B65">
        <f t="shared" si="4"/>
        <v>2076</v>
      </c>
      <c r="C65">
        <v>53</v>
      </c>
      <c r="K65">
        <f>(1+'Susitna rate analysis'!$E$18)^('capital replacements'!B65-'Susitna rate analysis'!$F$44)</f>
        <v>4.856544640781765</v>
      </c>
      <c r="L65">
        <f t="shared" si="3"/>
        <v>0</v>
      </c>
    </row>
    <row r="66" spans="2:12" x14ac:dyDescent="0.25">
      <c r="B66">
        <f t="shared" si="4"/>
        <v>2077</v>
      </c>
      <c r="C66">
        <v>54</v>
      </c>
      <c r="K66">
        <f>(1+'Susitna rate analysis'!$E$18)^('capital replacements'!B66-'Susitna rate analysis'!$F$44)</f>
        <v>4.9779582568013083</v>
      </c>
      <c r="L66">
        <f t="shared" si="3"/>
        <v>0</v>
      </c>
    </row>
    <row r="67" spans="2:12" x14ac:dyDescent="0.25">
      <c r="B67">
        <f t="shared" si="4"/>
        <v>2078</v>
      </c>
      <c r="C67">
        <v>55</v>
      </c>
      <c r="K67">
        <f>(1+'Susitna rate analysis'!$E$18)^('capital replacements'!B67-'Susitna rate analysis'!$F$44)</f>
        <v>5.1024072132213414</v>
      </c>
      <c r="L67">
        <f t="shared" si="3"/>
        <v>0</v>
      </c>
    </row>
    <row r="68" spans="2:12" x14ac:dyDescent="0.25">
      <c r="B68">
        <f t="shared" si="4"/>
        <v>2079</v>
      </c>
      <c r="C68">
        <v>56</v>
      </c>
      <c r="K68">
        <f>(1+'Susitna rate analysis'!$E$18)^('capital replacements'!B68-'Susitna rate analysis'!$F$44)</f>
        <v>5.2299673935518749</v>
      </c>
      <c r="L68">
        <f t="shared" si="3"/>
        <v>0</v>
      </c>
    </row>
    <row r="69" spans="2:12" x14ac:dyDescent="0.25">
      <c r="B69">
        <f t="shared" si="4"/>
        <v>2080</v>
      </c>
      <c r="C69">
        <v>57</v>
      </c>
      <c r="K69">
        <f>(1+'Susitna rate analysis'!$E$18)^('capital replacements'!B69-'Susitna rate analysis'!$F$44)</f>
        <v>5.3607165783906714</v>
      </c>
      <c r="L69">
        <f t="shared" si="3"/>
        <v>0</v>
      </c>
    </row>
    <row r="70" spans="2:12" x14ac:dyDescent="0.25">
      <c r="B70">
        <f t="shared" si="4"/>
        <v>2081</v>
      </c>
      <c r="C70">
        <v>58</v>
      </c>
      <c r="K70">
        <f>(1+'Susitna rate analysis'!$E$18)^('capital replacements'!B70-'Susitna rate analysis'!$F$44)</f>
        <v>5.4947344928504371</v>
      </c>
      <c r="L70">
        <f t="shared" si="3"/>
        <v>0</v>
      </c>
    </row>
    <row r="71" spans="2:12" x14ac:dyDescent="0.25">
      <c r="B71">
        <f t="shared" si="4"/>
        <v>2082</v>
      </c>
      <c r="C71">
        <v>59</v>
      </c>
      <c r="K71">
        <f>(1+'Susitna rate analysis'!$E$18)^('capital replacements'!B71-'Susitna rate analysis'!$F$44)</f>
        <v>5.6321028551716976</v>
      </c>
      <c r="L71">
        <f t="shared" si="3"/>
        <v>0</v>
      </c>
    </row>
    <row r="72" spans="2:12" x14ac:dyDescent="0.25">
      <c r="B72">
        <f t="shared" si="4"/>
        <v>2083</v>
      </c>
      <c r="C72">
        <v>60</v>
      </c>
      <c r="D72">
        <f>5*4</f>
        <v>20</v>
      </c>
      <c r="E72">
        <f>0.5*4</f>
        <v>2</v>
      </c>
      <c r="K72">
        <f>(1+'Susitna rate analysis'!$E$18)^('capital replacements'!B72-'Susitna rate analysis'!$F$44)</f>
        <v>5.7729054265509907</v>
      </c>
      <c r="L72">
        <f t="shared" si="3"/>
        <v>0</v>
      </c>
    </row>
    <row r="73" spans="2:12" x14ac:dyDescent="0.25">
      <c r="B73">
        <f t="shared" si="4"/>
        <v>2084</v>
      </c>
      <c r="C73">
        <v>61</v>
      </c>
      <c r="K73">
        <f>(1+'Susitna rate analysis'!$E$18)^('capital replacements'!B73-'Susitna rate analysis'!$F$44)</f>
        <v>5.9172280622147646</v>
      </c>
      <c r="L73">
        <f t="shared" si="3"/>
        <v>0</v>
      </c>
    </row>
    <row r="74" spans="2:12" x14ac:dyDescent="0.25">
      <c r="B74">
        <f t="shared" si="4"/>
        <v>2085</v>
      </c>
      <c r="C74">
        <v>62</v>
      </c>
      <c r="K74">
        <f>(1+'Susitna rate analysis'!$E$18)^('capital replacements'!B74-'Susitna rate analysis'!$F$44)</f>
        <v>6.0651587637701327</v>
      </c>
      <c r="L74">
        <f t="shared" si="3"/>
        <v>0</v>
      </c>
    </row>
    <row r="75" spans="2:12" x14ac:dyDescent="0.25">
      <c r="B75">
        <f t="shared" si="4"/>
        <v>2086</v>
      </c>
      <c r="C75">
        <v>63</v>
      </c>
      <c r="K75">
        <f>(1+'Susitna rate analysis'!$E$18)^('capital replacements'!B75-'Susitna rate analysis'!$F$44)</f>
        <v>6.2167877328643861</v>
      </c>
      <c r="L75">
        <f t="shared" si="3"/>
        <v>0</v>
      </c>
    </row>
    <row r="76" spans="2:12" x14ac:dyDescent="0.25">
      <c r="B76">
        <f t="shared" si="4"/>
        <v>2087</v>
      </c>
      <c r="C76">
        <v>64</v>
      </c>
      <c r="K76">
        <f>(1+'Susitna rate analysis'!$E$18)^('capital replacements'!B76-'Susitna rate analysis'!$F$44)</f>
        <v>6.3722074261859962</v>
      </c>
      <c r="L76">
        <f t="shared" si="3"/>
        <v>0</v>
      </c>
    </row>
    <row r="77" spans="2:12" x14ac:dyDescent="0.25">
      <c r="B77">
        <f t="shared" si="4"/>
        <v>2088</v>
      </c>
      <c r="C77">
        <v>65</v>
      </c>
      <c r="K77">
        <f>(1+'Susitna rate analysis'!$E$18)^('capital replacements'!B77-'Susitna rate analysis'!$F$44)</f>
        <v>6.531512611840645</v>
      </c>
      <c r="L77">
        <f t="shared" si="3"/>
        <v>0</v>
      </c>
    </row>
    <row r="78" spans="2:12" x14ac:dyDescent="0.25">
      <c r="B78">
        <f t="shared" si="4"/>
        <v>2089</v>
      </c>
      <c r="C78">
        <v>66</v>
      </c>
      <c r="K78">
        <f>(1+'Susitna rate analysis'!$E$18)^('capital replacements'!B78-'Susitna rate analysis'!$F$44)</f>
        <v>6.694800427136661</v>
      </c>
      <c r="L78">
        <f t="shared" ref="L78:L112" si="8">J78*K78</f>
        <v>0</v>
      </c>
    </row>
    <row r="79" spans="2:12" x14ac:dyDescent="0.25">
      <c r="B79">
        <f t="shared" ref="B79:B112" si="9">B78+1</f>
        <v>2090</v>
      </c>
      <c r="C79">
        <v>67</v>
      </c>
      <c r="K79">
        <f>(1+'Susitna rate analysis'!$E$18)^('capital replacements'!B79-'Susitna rate analysis'!$F$44)</f>
        <v>6.8621704378150765</v>
      </c>
      <c r="L79">
        <f t="shared" si="8"/>
        <v>0</v>
      </c>
    </row>
    <row r="80" spans="2:12" x14ac:dyDescent="0.25">
      <c r="B80">
        <f t="shared" si="9"/>
        <v>2091</v>
      </c>
      <c r="C80">
        <v>68</v>
      </c>
      <c r="K80">
        <f>(1+'Susitna rate analysis'!$E$18)^('capital replacements'!B80-'Susitna rate analysis'!$F$44)</f>
        <v>7.0337246987604551</v>
      </c>
      <c r="L80">
        <f t="shared" si="8"/>
        <v>0</v>
      </c>
    </row>
    <row r="81" spans="2:12" x14ac:dyDescent="0.25">
      <c r="B81">
        <f t="shared" si="9"/>
        <v>2092</v>
      </c>
      <c r="C81">
        <v>69</v>
      </c>
      <c r="K81">
        <f>(1+'Susitna rate analysis'!$E$18)^('capital replacements'!B81-'Susitna rate analysis'!$F$44)</f>
        <v>7.2095678162294652</v>
      </c>
      <c r="L81">
        <f t="shared" si="8"/>
        <v>0</v>
      </c>
    </row>
    <row r="82" spans="2:12" x14ac:dyDescent="0.25">
      <c r="B82">
        <f t="shared" si="9"/>
        <v>2093</v>
      </c>
      <c r="C82">
        <v>70</v>
      </c>
      <c r="K82">
        <f>(1+'Susitna rate analysis'!$E$18)^('capital replacements'!B82-'Susitna rate analysis'!$F$44)</f>
        <v>7.3898070116352015</v>
      </c>
      <c r="L82">
        <f t="shared" si="8"/>
        <v>0</v>
      </c>
    </row>
    <row r="83" spans="2:12" x14ac:dyDescent="0.25">
      <c r="B83">
        <f t="shared" si="9"/>
        <v>2094</v>
      </c>
      <c r="C83">
        <v>71</v>
      </c>
      <c r="K83">
        <f>(1+'Susitna rate analysis'!$E$18)^('capital replacements'!B83-'Susitna rate analysis'!$F$44)</f>
        <v>7.5745521869260815</v>
      </c>
      <c r="L83">
        <f t="shared" si="8"/>
        <v>0</v>
      </c>
    </row>
    <row r="84" spans="2:12" x14ac:dyDescent="0.25">
      <c r="B84">
        <f t="shared" si="9"/>
        <v>2095</v>
      </c>
      <c r="C84">
        <v>72</v>
      </c>
      <c r="K84">
        <f>(1+'Susitna rate analysis'!$E$18)^('capital replacements'!B84-'Susitna rate analysis'!$F$44)</f>
        <v>7.7639159915992337</v>
      </c>
      <c r="L84">
        <f t="shared" si="8"/>
        <v>0</v>
      </c>
    </row>
    <row r="85" spans="2:12" x14ac:dyDescent="0.25">
      <c r="B85">
        <f t="shared" si="9"/>
        <v>2096</v>
      </c>
      <c r="C85">
        <v>73</v>
      </c>
      <c r="K85">
        <f>(1+'Susitna rate analysis'!$E$18)^('capital replacements'!B85-'Susitna rate analysis'!$F$44)</f>
        <v>7.9580138913892133</v>
      </c>
      <c r="L85">
        <f t="shared" si="8"/>
        <v>0</v>
      </c>
    </row>
    <row r="86" spans="2:12" x14ac:dyDescent="0.25">
      <c r="B86">
        <f t="shared" si="9"/>
        <v>2097</v>
      </c>
      <c r="C86">
        <v>74</v>
      </c>
      <c r="K86">
        <f>(1+'Susitna rate analysis'!$E$18)^('capital replacements'!B86-'Susitna rate analysis'!$F$44)</f>
        <v>8.1569642386739432</v>
      </c>
      <c r="L86">
        <f t="shared" si="8"/>
        <v>0</v>
      </c>
    </row>
    <row r="87" spans="2:12" x14ac:dyDescent="0.25">
      <c r="B87">
        <f t="shared" si="9"/>
        <v>2098</v>
      </c>
      <c r="C87">
        <v>75</v>
      </c>
      <c r="K87">
        <f>(1+'Susitna rate analysis'!$E$18)^('capital replacements'!B87-'Susitna rate analysis'!$F$44)</f>
        <v>8.3608883446407916</v>
      </c>
      <c r="L87">
        <f t="shared" si="8"/>
        <v>0</v>
      </c>
    </row>
    <row r="88" spans="2:12" x14ac:dyDescent="0.25">
      <c r="B88">
        <f t="shared" si="9"/>
        <v>2099</v>
      </c>
      <c r="C88">
        <v>76</v>
      </c>
      <c r="K88">
        <f>(1+'Susitna rate analysis'!$E$18)^('capital replacements'!B88-'Susitna rate analysis'!$F$44)</f>
        <v>8.5699105532568112</v>
      </c>
      <c r="L88">
        <f t="shared" si="8"/>
        <v>0</v>
      </c>
    </row>
    <row r="89" spans="2:12" x14ac:dyDescent="0.25">
      <c r="B89">
        <f t="shared" si="9"/>
        <v>2100</v>
      </c>
      <c r="C89">
        <v>77</v>
      </c>
      <c r="K89">
        <f>(1+'Susitna rate analysis'!$E$18)^('capital replacements'!B89-'Susitna rate analysis'!$F$44)</f>
        <v>8.7841583170882309</v>
      </c>
      <c r="L89">
        <f t="shared" si="8"/>
        <v>0</v>
      </c>
    </row>
    <row r="90" spans="2:12" x14ac:dyDescent="0.25">
      <c r="B90">
        <f t="shared" si="9"/>
        <v>2101</v>
      </c>
      <c r="C90">
        <v>78</v>
      </c>
      <c r="K90">
        <f>(1+'Susitna rate analysis'!$E$18)^('capital replacements'!B90-'Susitna rate analysis'!$F$44)</f>
        <v>9.0037622750154345</v>
      </c>
      <c r="L90">
        <f t="shared" si="8"/>
        <v>0</v>
      </c>
    </row>
    <row r="91" spans="2:12" x14ac:dyDescent="0.25">
      <c r="B91">
        <f t="shared" si="9"/>
        <v>2102</v>
      </c>
      <c r="C91">
        <v>79</v>
      </c>
      <c r="K91">
        <f>(1+'Susitna rate analysis'!$E$18)^('capital replacements'!B91-'Susitna rate analysis'!$F$44)</f>
        <v>9.228856331890821</v>
      </c>
      <c r="L91">
        <f t="shared" si="8"/>
        <v>0</v>
      </c>
    </row>
    <row r="92" spans="2:12" x14ac:dyDescent="0.25">
      <c r="B92">
        <f t="shared" si="9"/>
        <v>2103</v>
      </c>
      <c r="C92">
        <v>80</v>
      </c>
      <c r="D92">
        <f>5*4</f>
        <v>20</v>
      </c>
      <c r="E92">
        <f>0.5*4</f>
        <v>2</v>
      </c>
      <c r="F92">
        <f>10*4</f>
        <v>40</v>
      </c>
      <c r="G92">
        <f>0.4*9</f>
        <v>3.6</v>
      </c>
      <c r="K92">
        <f>(1+'Susitna rate analysis'!$E$18)^('capital replacements'!B92-'Susitna rate analysis'!$F$44)</f>
        <v>9.4595777401880916</v>
      </c>
      <c r="L92">
        <f t="shared" si="8"/>
        <v>0</v>
      </c>
    </row>
    <row r="93" spans="2:12" x14ac:dyDescent="0.25">
      <c r="B93">
        <f t="shared" si="9"/>
        <v>2104</v>
      </c>
      <c r="C93">
        <v>81</v>
      </c>
      <c r="K93">
        <f>(1+'Susitna rate analysis'!$E$18)^('capital replacements'!B93-'Susitna rate analysis'!$F$44)</f>
        <v>9.6960671836927919</v>
      </c>
      <c r="L93">
        <f t="shared" si="8"/>
        <v>0</v>
      </c>
    </row>
    <row r="94" spans="2:12" x14ac:dyDescent="0.25">
      <c r="B94">
        <f t="shared" si="9"/>
        <v>2105</v>
      </c>
      <c r="C94">
        <v>82</v>
      </c>
      <c r="K94">
        <f>(1+'Susitna rate analysis'!$E$18)^('capital replacements'!B94-'Susitna rate analysis'!$F$44)</f>
        <v>9.938468863285113</v>
      </c>
      <c r="L94">
        <f t="shared" si="8"/>
        <v>0</v>
      </c>
    </row>
    <row r="95" spans="2:12" x14ac:dyDescent="0.25">
      <c r="B95">
        <f t="shared" si="9"/>
        <v>2106</v>
      </c>
      <c r="C95">
        <v>83</v>
      </c>
      <c r="K95">
        <f>(1+'Susitna rate analysis'!$E$18)^('capital replacements'!B95-'Susitna rate analysis'!$F$44)</f>
        <v>10.186930584867239</v>
      </c>
      <c r="L95">
        <f t="shared" si="8"/>
        <v>0</v>
      </c>
    </row>
    <row r="96" spans="2:12" x14ac:dyDescent="0.25">
      <c r="B96">
        <f t="shared" si="9"/>
        <v>2107</v>
      </c>
      <c r="C96">
        <v>84</v>
      </c>
      <c r="K96">
        <f>(1+'Susitna rate analysis'!$E$18)^('capital replacements'!B96-'Susitna rate analysis'!$F$44)</f>
        <v>10.441603849488923</v>
      </c>
      <c r="L96">
        <f t="shared" si="8"/>
        <v>0</v>
      </c>
    </row>
    <row r="97" spans="2:12" x14ac:dyDescent="0.25">
      <c r="B97">
        <f t="shared" si="9"/>
        <v>2108</v>
      </c>
      <c r="C97">
        <v>85</v>
      </c>
      <c r="K97">
        <f>(1+'Susitna rate analysis'!$E$18)^('capital replacements'!B97-'Susitna rate analysis'!$F$44)</f>
        <v>10.702643945726143</v>
      </c>
      <c r="L97">
        <f t="shared" si="8"/>
        <v>0</v>
      </c>
    </row>
    <row r="98" spans="2:12" x14ac:dyDescent="0.25">
      <c r="B98">
        <f t="shared" si="9"/>
        <v>2109</v>
      </c>
      <c r="C98">
        <v>86</v>
      </c>
      <c r="K98">
        <f>(1+'Susitna rate analysis'!$E$18)^('capital replacements'!B98-'Susitna rate analysis'!$F$44)</f>
        <v>10.970210044369296</v>
      </c>
      <c r="L98">
        <f t="shared" si="8"/>
        <v>0</v>
      </c>
    </row>
    <row r="99" spans="2:12" x14ac:dyDescent="0.25">
      <c r="B99">
        <f t="shared" si="9"/>
        <v>2110</v>
      </c>
      <c r="C99">
        <v>87</v>
      </c>
      <c r="K99">
        <f>(1+'Susitna rate analysis'!$E$18)^('capital replacements'!B99-'Susitna rate analysis'!$F$44)</f>
        <v>11.244465295478529</v>
      </c>
      <c r="L99">
        <f t="shared" si="8"/>
        <v>0</v>
      </c>
    </row>
    <row r="100" spans="2:12" x14ac:dyDescent="0.25">
      <c r="B100">
        <f t="shared" si="9"/>
        <v>2111</v>
      </c>
      <c r="C100">
        <v>88</v>
      </c>
      <c r="K100">
        <f>(1+'Susitna rate analysis'!$E$18)^('capital replacements'!B100-'Susitna rate analysis'!$F$44)</f>
        <v>11.52557692786549</v>
      </c>
      <c r="L100">
        <f t="shared" si="8"/>
        <v>0</v>
      </c>
    </row>
    <row r="101" spans="2:12" x14ac:dyDescent="0.25">
      <c r="B101">
        <f t="shared" si="9"/>
        <v>2112</v>
      </c>
      <c r="C101">
        <v>89</v>
      </c>
      <c r="K101">
        <f>(1+'Susitna rate analysis'!$E$18)^('capital replacements'!B101-'Susitna rate analysis'!$F$44)</f>
        <v>11.813716351062128</v>
      </c>
      <c r="L101">
        <f t="shared" si="8"/>
        <v>0</v>
      </c>
    </row>
    <row r="102" spans="2:12" x14ac:dyDescent="0.25">
      <c r="B102">
        <f t="shared" si="9"/>
        <v>2113</v>
      </c>
      <c r="C102">
        <v>90</v>
      </c>
      <c r="K102">
        <f>(1+'Susitna rate analysis'!$E$18)^('capital replacements'!B102-'Susitna rate analysis'!$F$44)</f>
        <v>12.109059259838681</v>
      </c>
      <c r="L102">
        <f t="shared" si="8"/>
        <v>0</v>
      </c>
    </row>
    <row r="103" spans="2:12" x14ac:dyDescent="0.25">
      <c r="B103">
        <f t="shared" si="9"/>
        <v>2114</v>
      </c>
      <c r="C103">
        <v>91</v>
      </c>
      <c r="K103">
        <f>(1+'Susitna rate analysis'!$E$18)^('capital replacements'!B103-'Susitna rate analysis'!$F$44)</f>
        <v>12.411785741334644</v>
      </c>
      <c r="L103">
        <f t="shared" si="8"/>
        <v>0</v>
      </c>
    </row>
    <row r="104" spans="2:12" x14ac:dyDescent="0.25">
      <c r="B104">
        <f t="shared" si="9"/>
        <v>2115</v>
      </c>
      <c r="C104">
        <v>92</v>
      </c>
      <c r="K104">
        <f>(1+'Susitna rate analysis'!$E$18)^('capital replacements'!B104-'Susitna rate analysis'!$F$44)</f>
        <v>12.722080384868011</v>
      </c>
      <c r="L104">
        <f t="shared" si="8"/>
        <v>0</v>
      </c>
    </row>
    <row r="105" spans="2:12" x14ac:dyDescent="0.25">
      <c r="B105">
        <f t="shared" si="9"/>
        <v>2116</v>
      </c>
      <c r="C105">
        <v>93</v>
      </c>
      <c r="K105">
        <f>(1+'Susitna rate analysis'!$E$18)^('capital replacements'!B105-'Susitna rate analysis'!$F$44)</f>
        <v>13.04013239448971</v>
      </c>
      <c r="L105">
        <f t="shared" si="8"/>
        <v>0</v>
      </c>
    </row>
    <row r="106" spans="2:12" x14ac:dyDescent="0.25">
      <c r="B106">
        <f t="shared" si="9"/>
        <v>2117</v>
      </c>
      <c r="C106">
        <v>94</v>
      </c>
      <c r="K106">
        <f>(1+'Susitna rate analysis'!$E$18)^('capital replacements'!B106-'Susitna rate analysis'!$F$44)</f>
        <v>13.366135704351953</v>
      </c>
      <c r="L106">
        <f t="shared" si="8"/>
        <v>0</v>
      </c>
    </row>
    <row r="107" spans="2:12" x14ac:dyDescent="0.25">
      <c r="B107">
        <f t="shared" si="9"/>
        <v>2118</v>
      </c>
      <c r="C107">
        <v>95</v>
      </c>
      <c r="K107">
        <f>(1+'Susitna rate analysis'!$E$18)^('capital replacements'!B107-'Susitna rate analysis'!$F$44)</f>
        <v>13.70028909696075</v>
      </c>
      <c r="L107">
        <f t="shared" si="8"/>
        <v>0</v>
      </c>
    </row>
    <row r="108" spans="2:12" x14ac:dyDescent="0.25">
      <c r="B108">
        <f t="shared" si="9"/>
        <v>2119</v>
      </c>
      <c r="C108">
        <v>96</v>
      </c>
      <c r="K108">
        <f>(1+'Susitna rate analysis'!$E$18)^('capital replacements'!B108-'Susitna rate analysis'!$F$44)</f>
        <v>14.042796324384771</v>
      </c>
      <c r="L108">
        <f t="shared" si="8"/>
        <v>0</v>
      </c>
    </row>
    <row r="109" spans="2:12" x14ac:dyDescent="0.25">
      <c r="B109">
        <f t="shared" si="9"/>
        <v>2120</v>
      </c>
      <c r="C109">
        <v>97</v>
      </c>
      <c r="K109">
        <f>(1+'Susitna rate analysis'!$E$18)^('capital replacements'!B109-'Susitna rate analysis'!$F$44)</f>
        <v>14.393866232494386</v>
      </c>
      <c r="L109">
        <f t="shared" si="8"/>
        <v>0</v>
      </c>
    </row>
    <row r="110" spans="2:12" x14ac:dyDescent="0.25">
      <c r="B110">
        <f t="shared" si="9"/>
        <v>2121</v>
      </c>
      <c r="C110">
        <v>98</v>
      </c>
      <c r="K110">
        <f>(1+'Susitna rate analysis'!$E$18)^('capital replacements'!B110-'Susitna rate analysis'!$F$44)</f>
        <v>14.753712888306747</v>
      </c>
      <c r="L110">
        <f t="shared" si="8"/>
        <v>0</v>
      </c>
    </row>
    <row r="111" spans="2:12" x14ac:dyDescent="0.25">
      <c r="B111">
        <f t="shared" si="9"/>
        <v>2122</v>
      </c>
      <c r="C111">
        <v>99</v>
      </c>
      <c r="K111">
        <f>(1+'Susitna rate analysis'!$E$18)^('capital replacements'!B111-'Susitna rate analysis'!$F$44)</f>
        <v>15.122555710514412</v>
      </c>
      <c r="L111">
        <f t="shared" si="8"/>
        <v>0</v>
      </c>
    </row>
    <row r="112" spans="2:12" x14ac:dyDescent="0.25">
      <c r="B112">
        <f t="shared" si="9"/>
        <v>2123</v>
      </c>
      <c r="C112">
        <v>100</v>
      </c>
      <c r="K112">
        <f>(1+'Susitna rate analysis'!$E$18)^('capital replacements'!B112-'Susitna rate analysis'!$F$44)</f>
        <v>15.500619603277276</v>
      </c>
      <c r="L112">
        <f t="shared" si="8"/>
        <v>0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6"/>
  <sheetViews>
    <sheetView showGridLines="0" topLeftCell="B1" workbookViewId="0">
      <selection activeCell="M30" sqref="M30"/>
    </sheetView>
  </sheetViews>
  <sheetFormatPr defaultColWidth="10.28515625" defaultRowHeight="12.75" x14ac:dyDescent="0.2"/>
  <cols>
    <col min="1" max="1" width="20.85546875" style="77" hidden="1" customWidth="1"/>
    <col min="2" max="2" width="9.85546875" style="77" customWidth="1"/>
    <col min="3" max="3" width="30.140625" style="77" customWidth="1"/>
    <col min="4" max="18" width="10.28515625" style="77" customWidth="1"/>
    <col min="19" max="19" width="10.7109375" style="77" bestFit="1" customWidth="1"/>
    <col min="20" max="30" width="10.28515625" style="77" customWidth="1"/>
    <col min="31" max="31" width="9.7109375" style="77" customWidth="1"/>
    <col min="32" max="34" width="10.28515625" style="77" customWidth="1"/>
    <col min="35" max="35" width="10.7109375" style="77" bestFit="1" customWidth="1"/>
    <col min="36" max="44" width="10.28515625" style="77" customWidth="1"/>
    <col min="45" max="16384" width="10.28515625" style="77"/>
  </cols>
  <sheetData>
    <row r="1" spans="3:48" x14ac:dyDescent="0.2">
      <c r="C1" s="78"/>
    </row>
    <row r="2" spans="3:48" x14ac:dyDescent="0.2">
      <c r="C2" s="80" t="s">
        <v>197</v>
      </c>
    </row>
    <row r="4" spans="3:48" x14ac:dyDescent="0.2">
      <c r="C4" s="80" t="s">
        <v>457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3:48" x14ac:dyDescent="0.2">
      <c r="D5" s="79"/>
      <c r="E5" s="80">
        <v>2010</v>
      </c>
      <c r="F5" s="80">
        <v>2011</v>
      </c>
      <c r="G5" s="80">
        <v>2012</v>
      </c>
      <c r="H5" s="80">
        <v>2013</v>
      </c>
      <c r="I5" s="80">
        <v>2014</v>
      </c>
      <c r="J5" s="80">
        <v>2015</v>
      </c>
      <c r="K5" s="80">
        <v>2016</v>
      </c>
      <c r="L5" s="80">
        <v>2017</v>
      </c>
      <c r="M5" s="80">
        <v>2018</v>
      </c>
      <c r="N5" s="80">
        <v>2019</v>
      </c>
      <c r="O5" s="80">
        <v>2020</v>
      </c>
      <c r="P5" s="80">
        <v>2021</v>
      </c>
      <c r="Q5" s="80">
        <v>2022</v>
      </c>
      <c r="R5" s="80">
        <v>2023</v>
      </c>
      <c r="S5" s="80">
        <v>2024</v>
      </c>
      <c r="T5" s="80">
        <v>2025</v>
      </c>
      <c r="U5" s="80">
        <v>2026</v>
      </c>
      <c r="V5" s="80">
        <v>2027</v>
      </c>
      <c r="W5" s="80">
        <v>2028</v>
      </c>
      <c r="X5" s="80">
        <v>2029</v>
      </c>
      <c r="Y5" s="80">
        <v>2030</v>
      </c>
      <c r="Z5" s="80">
        <v>2031</v>
      </c>
      <c r="AA5" s="80">
        <v>2032</v>
      </c>
      <c r="AB5" s="80">
        <v>2033</v>
      </c>
      <c r="AC5" s="80">
        <v>2034</v>
      </c>
      <c r="AD5" s="80">
        <v>2035</v>
      </c>
      <c r="AE5" s="80">
        <v>2036</v>
      </c>
      <c r="AF5" s="80">
        <v>2037</v>
      </c>
      <c r="AG5" s="80">
        <v>2038</v>
      </c>
      <c r="AH5" s="80">
        <v>2039</v>
      </c>
      <c r="AI5" s="80">
        <v>2040</v>
      </c>
      <c r="AJ5" s="80">
        <v>2041</v>
      </c>
      <c r="AK5" s="80">
        <v>2042</v>
      </c>
      <c r="AL5" s="80">
        <v>2043</v>
      </c>
      <c r="AM5" s="80">
        <v>2044</v>
      </c>
      <c r="AN5" s="80">
        <v>2045</v>
      </c>
      <c r="AO5" s="80">
        <v>2046</v>
      </c>
      <c r="AP5" s="80">
        <v>2047</v>
      </c>
      <c r="AQ5" s="80">
        <v>2048</v>
      </c>
      <c r="AR5" s="80">
        <v>2049</v>
      </c>
      <c r="AS5" s="80">
        <v>2050</v>
      </c>
      <c r="AT5" s="80">
        <v>2051</v>
      </c>
      <c r="AU5" s="80">
        <v>2052</v>
      </c>
      <c r="AV5" s="80">
        <v>2053</v>
      </c>
    </row>
    <row r="6" spans="3:48" x14ac:dyDescent="0.2">
      <c r="C6" s="77" t="s">
        <v>602</v>
      </c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</row>
    <row r="7" spans="3:48" x14ac:dyDescent="0.2">
      <c r="C7" s="199" t="s">
        <v>461</v>
      </c>
      <c r="D7" s="79"/>
      <c r="E7" s="97">
        <f>'AEO2013 projections'!C57*($G$31/$F$31)</f>
        <v>4.5419221552028217</v>
      </c>
      <c r="F7" s="97">
        <f>'AEO2013 projections'!D57*($G$31/$F$31)</f>
        <v>4.0501940035273369</v>
      </c>
      <c r="G7" s="97">
        <f>'AEO2013 projections'!E57*($G$31/$F$31)</f>
        <v>2.6646124585537923</v>
      </c>
      <c r="H7" s="97">
        <f>'AEO2013 projections'!F57*($G$31/$F$31)</f>
        <v>3.3081689506172842</v>
      </c>
      <c r="I7" s="97">
        <f>'AEO2013 projections'!G57*($G$31/$F$31)</f>
        <v>3.177118716049383</v>
      </c>
      <c r="J7" s="97">
        <f>'AEO2013 projections'!H57*($G$31/$F$31)</f>
        <v>3.1733178430335101</v>
      </c>
      <c r="K7" s="97">
        <f>'AEO2013 projections'!I57*($G$31/$F$31)</f>
        <v>3.6286756596119933</v>
      </c>
      <c r="L7" s="97">
        <f>'AEO2013 projections'!J57*($G$31/$F$31)</f>
        <v>3.7623290088183428</v>
      </c>
      <c r="M7" s="97">
        <f>'AEO2013 projections'!K57*($G$31/$F$31)</f>
        <v>4.0275943280423281</v>
      </c>
      <c r="N7" s="97">
        <f>'AEO2013 projections'!L57*($G$31/$F$31)</f>
        <v>4.1179156895943567</v>
      </c>
      <c r="O7" s="97">
        <f>'AEO2013 projections'!M57*($G$31/$F$31)</f>
        <v>4.2067797954144623</v>
      </c>
      <c r="P7" s="97">
        <f>'AEO2013 projections'!N57*($G$31/$F$31)</f>
        <v>4.333209959435627</v>
      </c>
      <c r="Q7" s="97">
        <f>'AEO2013 projections'!O57*($G$31/$F$31)</f>
        <v>4.555625650793651</v>
      </c>
      <c r="R7" s="97">
        <f>'AEO2013 projections'!P57*($G$31/$F$31)</f>
        <v>4.7566027901234573</v>
      </c>
      <c r="S7" s="97">
        <f>'AEO2013 projections'!Q57*($G$31/$F$31)</f>
        <v>4.8714227372134049</v>
      </c>
      <c r="T7" s="97">
        <f>'AEO2013 projections'!R57*($G$31/$F$31)</f>
        <v>4.9564941111111125</v>
      </c>
      <c r="U7" s="97">
        <f>'AEO2013 projections'!S57*($G$31/$F$31)</f>
        <v>5.1086765890652561</v>
      </c>
      <c r="V7" s="97">
        <f>'AEO2013 projections'!T57*($G$31/$F$31)</f>
        <v>5.1838341463844806</v>
      </c>
      <c r="W7" s="97">
        <f>'AEO2013 projections'!U57*($G$31/$F$31)</f>
        <v>5.3113735343915351</v>
      </c>
      <c r="X7" s="97">
        <f>'AEO2013 projections'!V57*($G$31/$F$31)</f>
        <v>5.3922441040564379</v>
      </c>
      <c r="Y7" s="97">
        <f>'AEO2013 projections'!W57*($G$31/$F$31)</f>
        <v>5.4928670017636687</v>
      </c>
      <c r="Z7" s="97">
        <f>'AEO2013 projections'!X57*($G$31/$F$31)</f>
        <v>5.6325651128747802</v>
      </c>
      <c r="AA7" s="97">
        <f>'AEO2013 projections'!Y57*($G$31/$F$31)</f>
        <v>5.7298338800705473</v>
      </c>
      <c r="AB7" s="97">
        <f>'AEO2013 projections'!Z57*($G$31/$F$31)</f>
        <v>5.8740859153439153</v>
      </c>
      <c r="AC7" s="97">
        <f>'AEO2013 projections'!AA57*($G$31/$F$31)</f>
        <v>6.1426229365079363</v>
      </c>
      <c r="AD7" s="97">
        <f>'AEO2013 projections'!AB57*($G$31/$F$31)</f>
        <v>6.4334126190476191</v>
      </c>
      <c r="AE7" s="97">
        <f>'AEO2013 projections'!AC57*($G$31/$F$31)</f>
        <v>6.8121393403880077</v>
      </c>
      <c r="AF7" s="97">
        <f>'AEO2013 projections'!AD57*($G$31/$F$31)</f>
        <v>7.163072368606703</v>
      </c>
      <c r="AG7" s="97">
        <f>'AEO2013 projections'!AE57*($G$31/$F$31)</f>
        <v>7.5518594462081134</v>
      </c>
      <c r="AH7" s="97">
        <f>'AEO2013 projections'!AF57*($G$31/$F$31)</f>
        <v>7.7228844850088185</v>
      </c>
      <c r="AI7" s="97">
        <f>'AEO2013 projections'!AG57*($G$31/$F$31)</f>
        <v>7.9667041287477964</v>
      </c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</row>
    <row r="8" spans="3:48" x14ac:dyDescent="0.2">
      <c r="C8" s="199" t="s">
        <v>611</v>
      </c>
      <c r="D8" s="79"/>
      <c r="E8" s="205"/>
      <c r="F8" s="97">
        <f>F38</f>
        <v>6.4574999999999996</v>
      </c>
      <c r="G8" s="97">
        <f t="shared" ref="G8:AV8" si="0">G38</f>
        <v>6.62</v>
      </c>
      <c r="H8" s="97">
        <f t="shared" si="0"/>
        <v>6.946341463414635</v>
      </c>
      <c r="I8" s="97">
        <f t="shared" si="0"/>
        <v>7.0624628197501496</v>
      </c>
      <c r="J8" s="97">
        <f t="shared" si="0"/>
        <v>7.1502154640820663</v>
      </c>
      <c r="K8" s="97">
        <f t="shared" si="0"/>
        <v>7.2929026906380283</v>
      </c>
      <c r="L8" s="97">
        <f t="shared" si="0"/>
        <v>7.1415426438848986</v>
      </c>
      <c r="M8" s="97">
        <f t="shared" si="0"/>
        <v>7.1139491441741631</v>
      </c>
      <c r="N8" s="97">
        <f t="shared" si="0"/>
        <v>7.5966250728032758</v>
      </c>
      <c r="O8" s="97">
        <f t="shared" si="0"/>
        <v>8.6999136506187753</v>
      </c>
      <c r="P8" s="97">
        <f t="shared" si="0"/>
        <v>8.976164935429038</v>
      </c>
      <c r="Q8" s="97">
        <f t="shared" si="0"/>
        <v>9.2103291563463241</v>
      </c>
      <c r="R8" s="97">
        <f t="shared" si="0"/>
        <v>9.4734596423910151</v>
      </c>
      <c r="S8" s="97">
        <f t="shared" si="0"/>
        <v>9.495208652028591</v>
      </c>
      <c r="T8" s="97">
        <f t="shared" si="0"/>
        <v>9.4739901060407146</v>
      </c>
      <c r="U8" s="97">
        <f t="shared" si="0"/>
        <v>9.3632307999042812</v>
      </c>
      <c r="V8" s="97">
        <f t="shared" si="0"/>
        <v>9.1831919059585161</v>
      </c>
      <c r="W8" s="97">
        <f t="shared" si="0"/>
        <v>9.0737278542645328</v>
      </c>
      <c r="X8" s="97">
        <f t="shared" si="0"/>
        <v>8.8918491222191403</v>
      </c>
      <c r="Y8" s="97">
        <f t="shared" si="0"/>
        <v>8.7070330488515815</v>
      </c>
      <c r="Z8" s="97">
        <f t="shared" si="0"/>
        <v>8.5822402694237372</v>
      </c>
      <c r="AA8" s="97">
        <f t="shared" si="0"/>
        <v>8.4949715245949253</v>
      </c>
      <c r="AB8" s="97">
        <f t="shared" si="0"/>
        <v>8.3354080000230564</v>
      </c>
      <c r="AC8" s="97">
        <f t="shared" si="0"/>
        <v>8.1785745393954468</v>
      </c>
      <c r="AD8" s="97">
        <f t="shared" si="0"/>
        <v>8.0527677525505332</v>
      </c>
      <c r="AE8" s="97">
        <f t="shared" si="0"/>
        <v>7.8010712475575792</v>
      </c>
      <c r="AF8" s="97">
        <f t="shared" si="0"/>
        <v>7.5137109110284754</v>
      </c>
      <c r="AG8" s="97">
        <f t="shared" si="0"/>
        <v>7.2830885443688205</v>
      </c>
      <c r="AH8" s="97">
        <f t="shared" si="0"/>
        <v>6.9771023063564277</v>
      </c>
      <c r="AI8" s="97">
        <f t="shared" si="0"/>
        <v>6.9672099701299679</v>
      </c>
      <c r="AJ8" s="97">
        <f t="shared" si="0"/>
        <v>6.8217110822545193</v>
      </c>
      <c r="AK8" s="97">
        <f t="shared" si="0"/>
        <v>6.7554438490143633</v>
      </c>
      <c r="AL8" s="97">
        <f t="shared" si="0"/>
        <v>6.6511418517930645</v>
      </c>
      <c r="AM8" s="97">
        <f t="shared" si="0"/>
        <v>6.6205123395982142</v>
      </c>
      <c r="AN8" s="97">
        <f t="shared" si="0"/>
        <v>6.5210148456030161</v>
      </c>
      <c r="AO8" s="97">
        <f t="shared" si="0"/>
        <v>6.4526658250664193</v>
      </c>
      <c r="AP8" s="97">
        <f t="shared" si="0"/>
        <v>6.3500619704019954</v>
      </c>
      <c r="AQ8" s="97">
        <f t="shared" si="0"/>
        <v>6.3185105271386321</v>
      </c>
      <c r="AR8" s="97">
        <f t="shared" si="0"/>
        <v>6.2165392304075926</v>
      </c>
      <c r="AS8" s="97">
        <f t="shared" si="0"/>
        <v>6.1196962117120215</v>
      </c>
      <c r="AT8" s="97">
        <f t="shared" si="0"/>
        <v>6.0200617091072663</v>
      </c>
      <c r="AU8" s="97">
        <f t="shared" si="0"/>
        <v>5.9886844290607257</v>
      </c>
      <c r="AV8" s="97">
        <f t="shared" si="0"/>
        <v>5.8898540586745778</v>
      </c>
    </row>
    <row r="9" spans="3:48" x14ac:dyDescent="0.2">
      <c r="C9" s="199" t="s">
        <v>613</v>
      </c>
      <c r="D9" s="79"/>
      <c r="E9" s="97">
        <v>6.7549300000000017</v>
      </c>
      <c r="F9" s="97">
        <v>6.9358230000000276</v>
      </c>
      <c r="G9" s="97">
        <v>7.1167159999999967</v>
      </c>
      <c r="H9" s="97">
        <v>7.2976090000000227</v>
      </c>
      <c r="I9" s="97">
        <v>7.4785020000000486</v>
      </c>
      <c r="J9" s="97">
        <v>7.6593950000000177</v>
      </c>
      <c r="K9" s="97">
        <v>7.8402880000000437</v>
      </c>
      <c r="L9" s="97">
        <v>8.0211810000000128</v>
      </c>
      <c r="M9" s="97">
        <v>8.2020740000000387</v>
      </c>
      <c r="N9" s="97">
        <v>8.3829670000000078</v>
      </c>
      <c r="O9" s="97">
        <v>8.5638600000000338</v>
      </c>
      <c r="P9" s="97">
        <v>8.7447530000000029</v>
      </c>
      <c r="Q9" s="97">
        <v>8.9256460000000288</v>
      </c>
      <c r="R9" s="97">
        <v>9.1065389999999979</v>
      </c>
      <c r="S9" s="97">
        <v>9.2874320000000239</v>
      </c>
      <c r="T9" s="97">
        <v>9.4683250000000498</v>
      </c>
      <c r="U9" s="97">
        <v>9.4121999999999986</v>
      </c>
      <c r="V9" s="97">
        <v>9.3968999999999987</v>
      </c>
      <c r="W9" s="97">
        <v>9.3815999999999988</v>
      </c>
      <c r="X9" s="97">
        <v>9.366299999999999</v>
      </c>
      <c r="Y9" s="97">
        <v>9.3509999999999991</v>
      </c>
      <c r="Z9" s="97">
        <v>9.3356999999999992</v>
      </c>
      <c r="AA9" s="97">
        <v>9.3203999999999994</v>
      </c>
      <c r="AB9" s="97">
        <v>9.3050999999999995</v>
      </c>
      <c r="AC9" s="97">
        <v>9.2897999999999996</v>
      </c>
      <c r="AD9" s="97">
        <v>9.2744999999999962</v>
      </c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</row>
    <row r="10" spans="3:48" x14ac:dyDescent="0.2">
      <c r="C10" s="199" t="s">
        <v>612</v>
      </c>
      <c r="D10" s="79"/>
      <c r="E10" s="206"/>
      <c r="F10" s="206"/>
      <c r="G10" s="207">
        <f>G64</f>
        <v>19.259889999999999</v>
      </c>
      <c r="H10" s="207">
        <f t="shared" ref="H10:AV10" si="1">H64</f>
        <v>17.419795000000001</v>
      </c>
      <c r="I10" s="207">
        <f t="shared" si="1"/>
        <v>17.450695</v>
      </c>
      <c r="J10" s="207">
        <f t="shared" si="1"/>
        <v>17.279199999999999</v>
      </c>
      <c r="K10" s="207">
        <f t="shared" si="1"/>
        <v>17.450695</v>
      </c>
      <c r="L10" s="207">
        <f t="shared" si="1"/>
        <v>17.776689999999999</v>
      </c>
      <c r="M10" s="207">
        <f t="shared" si="1"/>
        <v>18.110410000000002</v>
      </c>
      <c r="N10" s="207">
        <f t="shared" si="1"/>
        <v>18.451854999999998</v>
      </c>
      <c r="O10" s="207">
        <f t="shared" si="1"/>
        <v>18.799479999999999</v>
      </c>
      <c r="P10" s="207">
        <f t="shared" si="1"/>
        <v>19.154829999999997</v>
      </c>
      <c r="Q10" s="207">
        <f t="shared" si="1"/>
        <v>19.516359999999999</v>
      </c>
      <c r="R10" s="207">
        <f t="shared" si="1"/>
        <v>19.887159999999998</v>
      </c>
      <c r="S10" s="207">
        <f t="shared" si="1"/>
        <v>20.265685000000001</v>
      </c>
      <c r="T10" s="207">
        <f t="shared" si="1"/>
        <v>20.651935000000002</v>
      </c>
      <c r="U10" s="207">
        <f t="shared" si="1"/>
        <v>21.047454999999999</v>
      </c>
      <c r="V10" s="207">
        <f t="shared" si="1"/>
        <v>21.450699999999998</v>
      </c>
      <c r="W10" s="207">
        <f t="shared" si="1"/>
        <v>21.863214999999997</v>
      </c>
      <c r="X10" s="207">
        <f t="shared" si="1"/>
        <v>22.283455</v>
      </c>
      <c r="Y10" s="207">
        <f t="shared" si="1"/>
        <v>22.712965000000001</v>
      </c>
      <c r="Z10" s="207">
        <f t="shared" si="1"/>
        <v>23.151745000000002</v>
      </c>
      <c r="AA10" s="207">
        <f t="shared" si="1"/>
        <v>23.60134</v>
      </c>
      <c r="AB10" s="207">
        <f t="shared" si="1"/>
        <v>24.058659999999996</v>
      </c>
      <c r="AC10" s="207">
        <f t="shared" si="1"/>
        <v>24.554604999999999</v>
      </c>
      <c r="AD10" s="207">
        <f t="shared" si="1"/>
        <v>25.062909999999999</v>
      </c>
      <c r="AE10" s="207">
        <f t="shared" si="1"/>
        <v>25.58203</v>
      </c>
      <c r="AF10" s="207">
        <f t="shared" si="1"/>
        <v>26.111965000000001</v>
      </c>
      <c r="AG10" s="207">
        <f t="shared" si="1"/>
        <v>26.654260000000001</v>
      </c>
      <c r="AH10" s="207">
        <f t="shared" si="1"/>
        <v>27.210459999999998</v>
      </c>
      <c r="AI10" s="207">
        <f t="shared" si="1"/>
        <v>27.777474999999999</v>
      </c>
      <c r="AJ10" s="207">
        <f t="shared" si="1"/>
        <v>27.777474999999999</v>
      </c>
      <c r="AK10" s="207">
        <f t="shared" si="1"/>
        <v>27.777474999999999</v>
      </c>
      <c r="AL10" s="207">
        <f t="shared" si="1"/>
        <v>27.777474999999999</v>
      </c>
      <c r="AM10" s="207">
        <f t="shared" si="1"/>
        <v>27.777474999999999</v>
      </c>
      <c r="AN10" s="207">
        <f t="shared" si="1"/>
        <v>27.777474999999999</v>
      </c>
      <c r="AO10" s="207">
        <f t="shared" si="1"/>
        <v>27.777474999999999</v>
      </c>
      <c r="AP10" s="207">
        <f t="shared" si="1"/>
        <v>27.777474999999999</v>
      </c>
      <c r="AQ10" s="207">
        <f t="shared" si="1"/>
        <v>27.777474999999999</v>
      </c>
      <c r="AR10" s="207">
        <f t="shared" si="1"/>
        <v>27.777474999999999</v>
      </c>
      <c r="AS10" s="207">
        <f t="shared" si="1"/>
        <v>27.777474999999999</v>
      </c>
      <c r="AT10" s="207">
        <f t="shared" si="1"/>
        <v>27.777474999999999</v>
      </c>
      <c r="AU10" s="207">
        <f t="shared" si="1"/>
        <v>27.777474999999999</v>
      </c>
      <c r="AV10" s="207">
        <f t="shared" si="1"/>
        <v>27.777474999999999</v>
      </c>
    </row>
    <row r="11" spans="3:48" x14ac:dyDescent="0.2"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</row>
    <row r="12" spans="3:48" x14ac:dyDescent="0.2"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</row>
    <row r="13" spans="3:48" x14ac:dyDescent="0.2"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3:48" x14ac:dyDescent="0.2"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</row>
    <row r="15" spans="3:48" x14ac:dyDescent="0.2"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</row>
    <row r="16" spans="3:48" x14ac:dyDescent="0.2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</row>
    <row r="17" spans="3:48" x14ac:dyDescent="0.2"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</row>
    <row r="18" spans="3:48" x14ac:dyDescent="0.2"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</row>
    <row r="19" spans="3:48" x14ac:dyDescent="0.2"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</row>
    <row r="20" spans="3:48" x14ac:dyDescent="0.2"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</row>
    <row r="21" spans="3:48" x14ac:dyDescent="0.2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</row>
    <row r="22" spans="3:48" x14ac:dyDescent="0.2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3:48" x14ac:dyDescent="0.2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</row>
    <row r="24" spans="3:48" x14ac:dyDescent="0.2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</row>
    <row r="25" spans="3:48" x14ac:dyDescent="0.2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</row>
    <row r="26" spans="3:48" x14ac:dyDescent="0.2"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</row>
    <row r="27" spans="3:48" x14ac:dyDescent="0.2"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</row>
    <row r="28" spans="3:48" x14ac:dyDescent="0.2"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</row>
    <row r="29" spans="3:48" x14ac:dyDescent="0.2"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</row>
    <row r="30" spans="3:48" x14ac:dyDescent="0.2">
      <c r="C30" s="80" t="s">
        <v>469</v>
      </c>
      <c r="D30" s="79"/>
      <c r="E30" s="80">
        <v>2010</v>
      </c>
      <c r="F30" s="80">
        <v>2011</v>
      </c>
      <c r="G30" s="80">
        <v>2012</v>
      </c>
      <c r="H30" s="80"/>
      <c r="I30" s="80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</row>
    <row r="31" spans="3:48" x14ac:dyDescent="0.2">
      <c r="C31" s="204" t="s">
        <v>473</v>
      </c>
      <c r="D31" s="79"/>
      <c r="E31" s="198">
        <v>1.1100000000000001</v>
      </c>
      <c r="F31" s="198">
        <v>1.1339999999999999</v>
      </c>
      <c r="G31" s="198">
        <v>1.1539999999999999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</row>
    <row r="32" spans="3:48" x14ac:dyDescent="0.2">
      <c r="D32" s="79"/>
      <c r="E32" s="198"/>
      <c r="F32" s="198"/>
      <c r="G32" s="19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3:48" x14ac:dyDescent="0.2">
      <c r="C33" s="105" t="s">
        <v>458</v>
      </c>
      <c r="D33" s="80"/>
    </row>
    <row r="34" spans="3:48" ht="15" x14ac:dyDescent="0.25">
      <c r="C34" s="106" t="s">
        <v>265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</row>
    <row r="35" spans="3:48" ht="15" x14ac:dyDescent="0.25">
      <c r="C35" s="106"/>
      <c r="D35" s="80"/>
      <c r="E35" s="80">
        <v>2010</v>
      </c>
      <c r="F35" s="80">
        <v>2011</v>
      </c>
      <c r="G35" s="80">
        <v>2012</v>
      </c>
      <c r="H35" s="80">
        <v>2013</v>
      </c>
      <c r="I35" s="80">
        <v>2014</v>
      </c>
      <c r="J35" s="80">
        <v>2015</v>
      </c>
      <c r="K35" s="80">
        <v>2016</v>
      </c>
      <c r="L35" s="80">
        <v>2017</v>
      </c>
      <c r="M35" s="80">
        <v>2018</v>
      </c>
      <c r="N35" s="80">
        <v>2019</v>
      </c>
      <c r="O35" s="80">
        <v>2020</v>
      </c>
      <c r="P35" s="80">
        <v>2021</v>
      </c>
      <c r="Q35" s="80">
        <v>2022</v>
      </c>
      <c r="R35" s="80">
        <v>2023</v>
      </c>
      <c r="S35" s="80">
        <v>2024</v>
      </c>
      <c r="T35" s="80">
        <v>2025</v>
      </c>
      <c r="U35" s="80">
        <v>2026</v>
      </c>
      <c r="V35" s="80">
        <v>2027</v>
      </c>
      <c r="W35" s="80">
        <v>2028</v>
      </c>
      <c r="X35" s="80">
        <v>2029</v>
      </c>
      <c r="Y35" s="80">
        <v>2030</v>
      </c>
      <c r="Z35" s="80">
        <v>2031</v>
      </c>
      <c r="AA35" s="80">
        <v>2032</v>
      </c>
      <c r="AB35" s="80">
        <v>2033</v>
      </c>
      <c r="AC35" s="80">
        <v>2034</v>
      </c>
      <c r="AD35" s="80">
        <v>2035</v>
      </c>
      <c r="AE35" s="80">
        <v>2036</v>
      </c>
      <c r="AF35" s="80">
        <v>2037</v>
      </c>
      <c r="AG35" s="80">
        <v>2038</v>
      </c>
      <c r="AH35" s="80">
        <v>2039</v>
      </c>
      <c r="AI35" s="80">
        <v>2040</v>
      </c>
      <c r="AJ35" s="80">
        <v>2041</v>
      </c>
      <c r="AK35" s="80">
        <v>2042</v>
      </c>
      <c r="AL35" s="80">
        <v>2043</v>
      </c>
      <c r="AM35" s="80">
        <v>2044</v>
      </c>
      <c r="AN35" s="80">
        <v>2045</v>
      </c>
      <c r="AO35" s="80">
        <v>2046</v>
      </c>
      <c r="AP35" s="80">
        <v>2047</v>
      </c>
      <c r="AQ35" s="80">
        <v>2048</v>
      </c>
      <c r="AR35" s="80">
        <v>2049</v>
      </c>
      <c r="AS35" s="80">
        <v>2050</v>
      </c>
      <c r="AT35" s="80">
        <v>2051</v>
      </c>
      <c r="AU35" s="80">
        <v>2052</v>
      </c>
      <c r="AV35" s="80">
        <v>2053</v>
      </c>
    </row>
    <row r="36" spans="3:48" x14ac:dyDescent="0.2">
      <c r="C36" s="147" t="s">
        <v>460</v>
      </c>
      <c r="D36" s="78"/>
      <c r="F36" s="200">
        <v>6.3</v>
      </c>
      <c r="G36" s="201">
        <v>6.62</v>
      </c>
      <c r="H36" s="201">
        <v>7.12</v>
      </c>
      <c r="I36" s="201">
        <v>7.42</v>
      </c>
      <c r="J36" s="201">
        <v>7.7</v>
      </c>
      <c r="K36" s="201">
        <v>8.0500000000000007</v>
      </c>
      <c r="L36" s="201">
        <v>8.08</v>
      </c>
      <c r="M36" s="201">
        <v>8.25</v>
      </c>
      <c r="N36" s="201">
        <v>9.0299999999999994</v>
      </c>
      <c r="O36" s="201">
        <v>10.6</v>
      </c>
      <c r="P36" s="201">
        <v>11.21</v>
      </c>
      <c r="Q36" s="201">
        <v>11.79</v>
      </c>
      <c r="R36" s="201">
        <v>12.43</v>
      </c>
      <c r="S36" s="202">
        <v>12.77</v>
      </c>
      <c r="T36" s="201">
        <v>13.06</v>
      </c>
      <c r="U36" s="201">
        <v>13.23</v>
      </c>
      <c r="V36" s="201">
        <v>13.3</v>
      </c>
      <c r="W36" s="201">
        <v>13.47</v>
      </c>
      <c r="X36" s="201">
        <v>13.53</v>
      </c>
      <c r="Y36" s="201">
        <v>13.58</v>
      </c>
      <c r="Z36" s="201">
        <v>13.72</v>
      </c>
      <c r="AA36" s="201">
        <v>13.92</v>
      </c>
      <c r="AB36" s="201">
        <v>14</v>
      </c>
      <c r="AC36" s="201">
        <v>14.08</v>
      </c>
      <c r="AD36" s="201">
        <v>14.21</v>
      </c>
      <c r="AE36" s="201">
        <v>14.11</v>
      </c>
      <c r="AF36" s="201">
        <v>13.93</v>
      </c>
      <c r="AG36" s="201">
        <v>13.84</v>
      </c>
      <c r="AH36" s="201">
        <v>13.59</v>
      </c>
      <c r="AI36" s="201">
        <v>13.91</v>
      </c>
      <c r="AJ36" s="201">
        <v>13.96</v>
      </c>
      <c r="AK36" s="201">
        <v>14.17</v>
      </c>
      <c r="AL36" s="201">
        <v>14.3</v>
      </c>
      <c r="AM36" s="201">
        <v>14.59</v>
      </c>
      <c r="AN36" s="201">
        <v>14.73</v>
      </c>
      <c r="AO36" s="201">
        <v>14.94</v>
      </c>
      <c r="AP36" s="201">
        <v>15.07</v>
      </c>
      <c r="AQ36" s="201">
        <v>15.37</v>
      </c>
      <c r="AR36" s="201">
        <v>15.5</v>
      </c>
      <c r="AS36" s="201">
        <v>15.64</v>
      </c>
      <c r="AT36" s="201">
        <v>15.77</v>
      </c>
      <c r="AU36" s="201">
        <v>16.079999999999998</v>
      </c>
      <c r="AV36" s="201">
        <v>16.21</v>
      </c>
    </row>
    <row r="37" spans="3:48" x14ac:dyDescent="0.2">
      <c r="C37" s="147" t="s">
        <v>459</v>
      </c>
      <c r="D37" s="197">
        <v>2.5000000000000001E-2</v>
      </c>
      <c r="F37" s="139">
        <f>G37/(1+$D$37)</f>
        <v>0.97560975609756106</v>
      </c>
      <c r="G37" s="139">
        <v>1</v>
      </c>
      <c r="H37" s="139">
        <f t="shared" ref="H37:AV37" si="2">G37*(1+$D$37)</f>
        <v>1.0249999999999999</v>
      </c>
      <c r="I37" s="139">
        <f t="shared" si="2"/>
        <v>1.0506249999999999</v>
      </c>
      <c r="J37" s="139">
        <f t="shared" si="2"/>
        <v>1.0768906249999999</v>
      </c>
      <c r="K37" s="139">
        <f t="shared" si="2"/>
        <v>1.1038128906249998</v>
      </c>
      <c r="L37" s="139">
        <f t="shared" si="2"/>
        <v>1.1314082128906247</v>
      </c>
      <c r="M37" s="139">
        <f t="shared" si="2"/>
        <v>1.1596934182128902</v>
      </c>
      <c r="N37" s="139">
        <f t="shared" si="2"/>
        <v>1.1886857536682123</v>
      </c>
      <c r="O37" s="139">
        <f t="shared" si="2"/>
        <v>1.2184028975099175</v>
      </c>
      <c r="P37" s="139">
        <f t="shared" si="2"/>
        <v>1.2488629699476652</v>
      </c>
      <c r="Q37" s="139">
        <f t="shared" si="2"/>
        <v>1.2800845441963566</v>
      </c>
      <c r="R37" s="139">
        <f t="shared" si="2"/>
        <v>1.3120866578012655</v>
      </c>
      <c r="S37" s="139">
        <f t="shared" si="2"/>
        <v>1.3448888242462971</v>
      </c>
      <c r="T37" s="139">
        <f t="shared" si="2"/>
        <v>1.3785110448524545</v>
      </c>
      <c r="U37" s="139">
        <f t="shared" si="2"/>
        <v>1.4129738209737657</v>
      </c>
      <c r="V37" s="139">
        <f t="shared" si="2"/>
        <v>1.4482981664981096</v>
      </c>
      <c r="W37" s="139">
        <f t="shared" si="2"/>
        <v>1.4845056206605622</v>
      </c>
      <c r="X37" s="139">
        <f t="shared" si="2"/>
        <v>1.5216182611770761</v>
      </c>
      <c r="Y37" s="139">
        <f t="shared" si="2"/>
        <v>1.5596587177065029</v>
      </c>
      <c r="Z37" s="139">
        <f t="shared" si="2"/>
        <v>1.5986501856491653</v>
      </c>
      <c r="AA37" s="139">
        <f t="shared" si="2"/>
        <v>1.6386164402903942</v>
      </c>
      <c r="AB37" s="139">
        <f t="shared" si="2"/>
        <v>1.6795818512976539</v>
      </c>
      <c r="AC37" s="139">
        <f t="shared" si="2"/>
        <v>1.721571397580095</v>
      </c>
      <c r="AD37" s="139">
        <f t="shared" si="2"/>
        <v>1.7646106825195973</v>
      </c>
      <c r="AE37" s="139">
        <f t="shared" si="2"/>
        <v>1.8087259495825871</v>
      </c>
      <c r="AF37" s="139">
        <f t="shared" si="2"/>
        <v>1.8539440983221516</v>
      </c>
      <c r="AG37" s="139">
        <f t="shared" si="2"/>
        <v>1.9002927007802053</v>
      </c>
      <c r="AH37" s="139">
        <f t="shared" si="2"/>
        <v>1.9478000182997102</v>
      </c>
      <c r="AI37" s="139">
        <f t="shared" si="2"/>
        <v>1.9964950187572028</v>
      </c>
      <c r="AJ37" s="139">
        <f t="shared" si="2"/>
        <v>2.0464073942261325</v>
      </c>
      <c r="AK37" s="139">
        <f t="shared" si="2"/>
        <v>2.0975675790817858</v>
      </c>
      <c r="AL37" s="139">
        <f t="shared" si="2"/>
        <v>2.1500067685588302</v>
      </c>
      <c r="AM37" s="139">
        <f t="shared" si="2"/>
        <v>2.2037569377728006</v>
      </c>
      <c r="AN37" s="139">
        <f t="shared" si="2"/>
        <v>2.2588508612171205</v>
      </c>
      <c r="AO37" s="139">
        <f t="shared" si="2"/>
        <v>2.3153221327475482</v>
      </c>
      <c r="AP37" s="139">
        <f t="shared" si="2"/>
        <v>2.3732051860662366</v>
      </c>
      <c r="AQ37" s="139">
        <f t="shared" si="2"/>
        <v>2.4325353157178924</v>
      </c>
      <c r="AR37" s="139">
        <f t="shared" si="2"/>
        <v>2.4933486986108395</v>
      </c>
      <c r="AS37" s="139">
        <f t="shared" si="2"/>
        <v>2.5556824160761105</v>
      </c>
      <c r="AT37" s="139">
        <f t="shared" si="2"/>
        <v>2.6195744764780131</v>
      </c>
      <c r="AU37" s="139">
        <f t="shared" si="2"/>
        <v>2.6850638383899632</v>
      </c>
      <c r="AV37" s="139">
        <f t="shared" si="2"/>
        <v>2.7521904343497119</v>
      </c>
    </row>
    <row r="38" spans="3:48" x14ac:dyDescent="0.2">
      <c r="C38" s="218" t="s">
        <v>465</v>
      </c>
      <c r="D38" s="219"/>
      <c r="E38" s="220"/>
      <c r="F38" s="221">
        <f>F36/F37</f>
        <v>6.4574999999999996</v>
      </c>
      <c r="G38" s="221">
        <f t="shared" ref="G38:AV38" si="3">G36/G37</f>
        <v>6.62</v>
      </c>
      <c r="H38" s="221">
        <f t="shared" si="3"/>
        <v>6.946341463414635</v>
      </c>
      <c r="I38" s="221">
        <f t="shared" si="3"/>
        <v>7.0624628197501496</v>
      </c>
      <c r="J38" s="221">
        <f t="shared" si="3"/>
        <v>7.1502154640820663</v>
      </c>
      <c r="K38" s="221">
        <f t="shared" si="3"/>
        <v>7.2929026906380283</v>
      </c>
      <c r="L38" s="221">
        <f t="shared" si="3"/>
        <v>7.1415426438848986</v>
      </c>
      <c r="M38" s="221">
        <f t="shared" si="3"/>
        <v>7.1139491441741631</v>
      </c>
      <c r="N38" s="221">
        <f t="shared" si="3"/>
        <v>7.5966250728032758</v>
      </c>
      <c r="O38" s="221">
        <f t="shared" si="3"/>
        <v>8.6999136506187753</v>
      </c>
      <c r="P38" s="221">
        <f t="shared" si="3"/>
        <v>8.976164935429038</v>
      </c>
      <c r="Q38" s="221">
        <f t="shared" si="3"/>
        <v>9.2103291563463241</v>
      </c>
      <c r="R38" s="221">
        <f t="shared" si="3"/>
        <v>9.4734596423910151</v>
      </c>
      <c r="S38" s="221">
        <f t="shared" si="3"/>
        <v>9.495208652028591</v>
      </c>
      <c r="T38" s="221">
        <f t="shared" si="3"/>
        <v>9.4739901060407146</v>
      </c>
      <c r="U38" s="221">
        <f t="shared" si="3"/>
        <v>9.3632307999042812</v>
      </c>
      <c r="V38" s="221">
        <f t="shared" si="3"/>
        <v>9.1831919059585161</v>
      </c>
      <c r="W38" s="221">
        <f t="shared" si="3"/>
        <v>9.0737278542645328</v>
      </c>
      <c r="X38" s="221">
        <f t="shared" si="3"/>
        <v>8.8918491222191403</v>
      </c>
      <c r="Y38" s="221">
        <f t="shared" si="3"/>
        <v>8.7070330488515815</v>
      </c>
      <c r="Z38" s="221">
        <f t="shared" si="3"/>
        <v>8.5822402694237372</v>
      </c>
      <c r="AA38" s="221">
        <f t="shared" si="3"/>
        <v>8.4949715245949253</v>
      </c>
      <c r="AB38" s="221">
        <f t="shared" si="3"/>
        <v>8.3354080000230564</v>
      </c>
      <c r="AC38" s="221">
        <f t="shared" si="3"/>
        <v>8.1785745393954468</v>
      </c>
      <c r="AD38" s="221">
        <f t="shared" si="3"/>
        <v>8.0527677525505332</v>
      </c>
      <c r="AE38" s="221">
        <f t="shared" si="3"/>
        <v>7.8010712475575792</v>
      </c>
      <c r="AF38" s="221">
        <f t="shared" si="3"/>
        <v>7.5137109110284754</v>
      </c>
      <c r="AG38" s="221">
        <f t="shared" si="3"/>
        <v>7.2830885443688205</v>
      </c>
      <c r="AH38" s="221">
        <f t="shared" si="3"/>
        <v>6.9771023063564277</v>
      </c>
      <c r="AI38" s="221">
        <f t="shared" si="3"/>
        <v>6.9672099701299679</v>
      </c>
      <c r="AJ38" s="221">
        <f t="shared" si="3"/>
        <v>6.8217110822545193</v>
      </c>
      <c r="AK38" s="221">
        <f t="shared" si="3"/>
        <v>6.7554438490143633</v>
      </c>
      <c r="AL38" s="221">
        <f t="shared" si="3"/>
        <v>6.6511418517930645</v>
      </c>
      <c r="AM38" s="221">
        <f t="shared" si="3"/>
        <v>6.6205123395982142</v>
      </c>
      <c r="AN38" s="221">
        <f t="shared" si="3"/>
        <v>6.5210148456030161</v>
      </c>
      <c r="AO38" s="221">
        <f t="shared" si="3"/>
        <v>6.4526658250664193</v>
      </c>
      <c r="AP38" s="221">
        <f t="shared" si="3"/>
        <v>6.3500619704019954</v>
      </c>
      <c r="AQ38" s="221">
        <f t="shared" si="3"/>
        <v>6.3185105271386321</v>
      </c>
      <c r="AR38" s="221">
        <f t="shared" si="3"/>
        <v>6.2165392304075926</v>
      </c>
      <c r="AS38" s="221">
        <f t="shared" si="3"/>
        <v>6.1196962117120215</v>
      </c>
      <c r="AT38" s="221">
        <f t="shared" si="3"/>
        <v>6.0200617091072663</v>
      </c>
      <c r="AU38" s="221">
        <f t="shared" si="3"/>
        <v>5.9886844290607257</v>
      </c>
      <c r="AV38" s="221">
        <f t="shared" si="3"/>
        <v>5.8898540586745778</v>
      </c>
    </row>
    <row r="39" spans="3:48" x14ac:dyDescent="0.2">
      <c r="O39" s="82"/>
      <c r="Y39" s="82"/>
      <c r="AI39" s="82"/>
      <c r="AS39" s="82"/>
    </row>
    <row r="40" spans="3:48" x14ac:dyDescent="0.2">
      <c r="C40" s="77" t="s">
        <v>549</v>
      </c>
      <c r="H40" s="237">
        <v>6.6</v>
      </c>
      <c r="I40" s="237">
        <v>6.86</v>
      </c>
      <c r="J40" s="237">
        <v>7.13</v>
      </c>
      <c r="K40" s="237">
        <v>7.42</v>
      </c>
      <c r="L40" s="237">
        <v>7.72</v>
      </c>
      <c r="O40" s="82"/>
      <c r="Y40" s="82"/>
      <c r="AI40" s="82"/>
      <c r="AS40" s="82"/>
    </row>
    <row r="41" spans="3:48" x14ac:dyDescent="0.2">
      <c r="C41" s="77" t="s">
        <v>550</v>
      </c>
      <c r="H41" s="237">
        <v>0.51</v>
      </c>
      <c r="I41" s="237">
        <v>0.51</v>
      </c>
      <c r="J41" s="237">
        <v>0.51</v>
      </c>
      <c r="K41" s="237">
        <v>0.51</v>
      </c>
      <c r="L41" s="237">
        <v>0.51</v>
      </c>
      <c r="O41" s="82"/>
      <c r="Y41" s="82"/>
      <c r="AI41" s="82"/>
      <c r="AS41" s="82"/>
    </row>
    <row r="42" spans="3:48" x14ac:dyDescent="0.2">
      <c r="C42" s="77" t="s">
        <v>551</v>
      </c>
      <c r="H42" s="97">
        <f>H40+H41</f>
        <v>7.1099999999999994</v>
      </c>
      <c r="I42" s="97">
        <f t="shared" ref="I42:L42" si="4">I40+I41</f>
        <v>7.37</v>
      </c>
      <c r="J42" s="97">
        <f t="shared" si="4"/>
        <v>7.64</v>
      </c>
      <c r="K42" s="97">
        <f t="shared" si="4"/>
        <v>7.93</v>
      </c>
      <c r="L42" s="97">
        <f t="shared" si="4"/>
        <v>8.23</v>
      </c>
      <c r="O42" s="82"/>
      <c r="Y42" s="82"/>
      <c r="AI42" s="82"/>
      <c r="AS42" s="82"/>
    </row>
    <row r="43" spans="3:48" x14ac:dyDescent="0.2">
      <c r="H43" s="238">
        <f>H42/H36</f>
        <v>0.99859550561797739</v>
      </c>
      <c r="I43" s="238">
        <f t="shared" ref="I43:L43" si="5">I42/I36</f>
        <v>0.99326145552560652</v>
      </c>
      <c r="J43" s="238">
        <f t="shared" si="5"/>
        <v>0.99220779220779209</v>
      </c>
      <c r="K43" s="238">
        <f t="shared" si="5"/>
        <v>0.98509316770186328</v>
      </c>
      <c r="L43" s="238">
        <f t="shared" si="5"/>
        <v>1.0185643564356437</v>
      </c>
      <c r="O43" s="82"/>
      <c r="Y43" s="82"/>
      <c r="AI43" s="82"/>
      <c r="AS43" s="82"/>
    </row>
    <row r="44" spans="3:48" x14ac:dyDescent="0.2">
      <c r="C44" s="77" t="s">
        <v>610</v>
      </c>
      <c r="O44" s="82"/>
      <c r="Y44" s="82"/>
      <c r="AI44" s="82"/>
      <c r="AS44" s="82"/>
    </row>
    <row r="45" spans="3:48" ht="15" x14ac:dyDescent="0.25">
      <c r="C45" s="291"/>
      <c r="D45" s="292">
        <v>2012</v>
      </c>
      <c r="E45" s="292">
        <v>2024</v>
      </c>
      <c r="F45" s="292">
        <v>2040</v>
      </c>
      <c r="G45" s="292">
        <v>2050</v>
      </c>
      <c r="O45" s="82"/>
      <c r="Y45" s="82"/>
      <c r="AI45" s="82"/>
      <c r="AS45" s="82"/>
    </row>
    <row r="46" spans="3:48" x14ac:dyDescent="0.2">
      <c r="C46" s="147" t="s">
        <v>609</v>
      </c>
      <c r="D46" s="81">
        <f>G38</f>
        <v>6.62</v>
      </c>
      <c r="E46" s="81">
        <f>S38</f>
        <v>9.495208652028591</v>
      </c>
      <c r="F46" s="81">
        <f>AI38</f>
        <v>6.9672099701299679</v>
      </c>
      <c r="G46" s="81">
        <f>AS38</f>
        <v>6.1196962117120215</v>
      </c>
      <c r="O46" s="82"/>
      <c r="Y46" s="82"/>
      <c r="AI46" s="82"/>
      <c r="AS46" s="82"/>
    </row>
    <row r="47" spans="3:48" ht="15" x14ac:dyDescent="0.25">
      <c r="C47" s="106"/>
      <c r="O47" s="82"/>
      <c r="Y47" s="82"/>
      <c r="AI47" s="82"/>
      <c r="AS47" s="82"/>
    </row>
    <row r="48" spans="3:48" x14ac:dyDescent="0.2">
      <c r="C48" s="80" t="s">
        <v>462</v>
      </c>
      <c r="N48" s="82"/>
      <c r="X48" s="82"/>
      <c r="AI48" s="82"/>
      <c r="AS48" s="82"/>
    </row>
    <row r="49" spans="3:48" ht="15" x14ac:dyDescent="0.25">
      <c r="C49" s="109" t="s">
        <v>467</v>
      </c>
      <c r="N49" s="82"/>
      <c r="X49" s="82"/>
      <c r="AI49" s="82"/>
      <c r="AS49" s="82"/>
    </row>
    <row r="50" spans="3:48" ht="15" x14ac:dyDescent="0.25">
      <c r="C50" s="109"/>
      <c r="N50" s="82"/>
      <c r="X50" s="82"/>
      <c r="AI50" s="82"/>
      <c r="AS50" s="82"/>
    </row>
    <row r="51" spans="3:48" x14ac:dyDescent="0.2">
      <c r="C51" s="77" t="s">
        <v>264</v>
      </c>
      <c r="E51" s="203">
        <v>6.75</v>
      </c>
      <c r="F51" s="203">
        <v>6.94</v>
      </c>
      <c r="G51" s="203">
        <v>7.12</v>
      </c>
      <c r="H51" s="203">
        <v>7.3</v>
      </c>
      <c r="I51" s="203">
        <v>7.48</v>
      </c>
      <c r="J51" s="203">
        <v>7.66</v>
      </c>
      <c r="K51" s="203">
        <v>7.84</v>
      </c>
      <c r="L51" s="203">
        <v>8.02</v>
      </c>
      <c r="M51" s="203">
        <v>8.1999999999999993</v>
      </c>
      <c r="N51" s="203">
        <v>8.3800000000000008</v>
      </c>
      <c r="O51" s="203">
        <v>8.56</v>
      </c>
      <c r="P51" s="203">
        <v>8.74</v>
      </c>
      <c r="Q51" s="203">
        <v>8.93</v>
      </c>
      <c r="R51" s="203">
        <v>9.11</v>
      </c>
      <c r="S51" s="203">
        <v>9.2899999999999991</v>
      </c>
      <c r="T51" s="203">
        <v>9.4700000000000006</v>
      </c>
      <c r="U51" s="203">
        <v>9.41</v>
      </c>
      <c r="V51" s="203">
        <v>9.4</v>
      </c>
      <c r="W51" s="203">
        <v>9.3800000000000008</v>
      </c>
      <c r="X51" s="203">
        <v>9.3699999999999992</v>
      </c>
      <c r="Y51" s="203">
        <v>9.35</v>
      </c>
      <c r="Z51" s="203">
        <v>9.34</v>
      </c>
      <c r="AA51" s="203">
        <v>9.32</v>
      </c>
      <c r="AB51" s="203">
        <v>9.31</v>
      </c>
      <c r="AC51" s="203">
        <v>9.2899999999999991</v>
      </c>
      <c r="AD51" s="203">
        <v>9.27</v>
      </c>
      <c r="AE51" s="77" t="s">
        <v>266</v>
      </c>
      <c r="AI51" s="82"/>
      <c r="AS51" s="82"/>
    </row>
    <row r="52" spans="3:48" x14ac:dyDescent="0.2">
      <c r="N52" s="82"/>
      <c r="X52" s="82"/>
      <c r="AI52" s="82"/>
      <c r="AS52" s="82"/>
    </row>
    <row r="53" spans="3:48" x14ac:dyDescent="0.2">
      <c r="C53" s="77" t="s">
        <v>466</v>
      </c>
      <c r="E53" s="97">
        <f>ROUND(E51*($G$31/$F$31),2)</f>
        <v>6.87</v>
      </c>
      <c r="F53" s="97">
        <f>ROUND(F51*($G$31/$F$31),2)</f>
        <v>7.06</v>
      </c>
      <c r="G53" s="97">
        <f t="shared" ref="G53:AD53" si="6">ROUND(G51*($G$31/$F$31),2)</f>
        <v>7.25</v>
      </c>
      <c r="H53" s="97">
        <f t="shared" si="6"/>
        <v>7.43</v>
      </c>
      <c r="I53" s="97">
        <f t="shared" si="6"/>
        <v>7.61</v>
      </c>
      <c r="J53" s="97">
        <f t="shared" si="6"/>
        <v>7.8</v>
      </c>
      <c r="K53" s="97">
        <f t="shared" si="6"/>
        <v>7.98</v>
      </c>
      <c r="L53" s="97">
        <f t="shared" si="6"/>
        <v>8.16</v>
      </c>
      <c r="M53" s="97">
        <f t="shared" si="6"/>
        <v>8.34</v>
      </c>
      <c r="N53" s="97">
        <f t="shared" si="6"/>
        <v>8.5299999999999994</v>
      </c>
      <c r="O53" s="97">
        <f t="shared" si="6"/>
        <v>8.7100000000000009</v>
      </c>
      <c r="P53" s="97">
        <f t="shared" si="6"/>
        <v>8.89</v>
      </c>
      <c r="Q53" s="97">
        <f t="shared" si="6"/>
        <v>9.09</v>
      </c>
      <c r="R53" s="97">
        <f t="shared" si="6"/>
        <v>9.27</v>
      </c>
      <c r="S53" s="97">
        <f t="shared" si="6"/>
        <v>9.4499999999999993</v>
      </c>
      <c r="T53" s="97">
        <f t="shared" si="6"/>
        <v>9.64</v>
      </c>
      <c r="U53" s="97">
        <f t="shared" si="6"/>
        <v>9.58</v>
      </c>
      <c r="V53" s="97">
        <f t="shared" si="6"/>
        <v>9.57</v>
      </c>
      <c r="W53" s="97">
        <f t="shared" si="6"/>
        <v>9.5500000000000007</v>
      </c>
      <c r="X53" s="97">
        <f t="shared" si="6"/>
        <v>9.5399999999999991</v>
      </c>
      <c r="Y53" s="97">
        <f t="shared" si="6"/>
        <v>9.51</v>
      </c>
      <c r="Z53" s="97">
        <f t="shared" si="6"/>
        <v>9.5</v>
      </c>
      <c r="AA53" s="97">
        <f t="shared" si="6"/>
        <v>9.48</v>
      </c>
      <c r="AB53" s="97">
        <f t="shared" si="6"/>
        <v>9.4700000000000006</v>
      </c>
      <c r="AC53" s="97">
        <f t="shared" si="6"/>
        <v>9.4499999999999993</v>
      </c>
      <c r="AD53" s="97">
        <f t="shared" si="6"/>
        <v>9.43</v>
      </c>
      <c r="AI53" s="82"/>
      <c r="AS53" s="82"/>
    </row>
    <row r="54" spans="3:48" x14ac:dyDescent="0.2">
      <c r="N54" s="82"/>
      <c r="X54" s="82"/>
      <c r="AI54" s="82"/>
      <c r="AS54" s="82"/>
    </row>
    <row r="55" spans="3:48" x14ac:dyDescent="0.2">
      <c r="N55" s="82"/>
      <c r="X55" s="82"/>
      <c r="AI55" s="82"/>
      <c r="AS55" s="82"/>
    </row>
    <row r="56" spans="3:48" x14ac:dyDescent="0.2">
      <c r="C56" s="80" t="s">
        <v>446</v>
      </c>
      <c r="N56" s="82"/>
      <c r="X56" s="82"/>
      <c r="AI56" s="82"/>
      <c r="AS56" s="82"/>
    </row>
    <row r="57" spans="3:48" x14ac:dyDescent="0.2">
      <c r="N57" s="82"/>
      <c r="X57" s="82"/>
      <c r="AI57" s="82"/>
      <c r="AJ57" s="77" t="s">
        <v>266</v>
      </c>
      <c r="AS57" s="82"/>
    </row>
    <row r="58" spans="3:48" x14ac:dyDescent="0.2">
      <c r="C58" s="77" t="s">
        <v>447</v>
      </c>
      <c r="E58" s="203">
        <f>'AEO2013 projections'!C55</f>
        <v>81.307022000000003</v>
      </c>
      <c r="F58" s="203">
        <f>'AEO2013 projections'!D55</f>
        <v>111.260002</v>
      </c>
      <c r="G58" s="203">
        <f>'AEO2013 projections'!E55</f>
        <v>108.503288</v>
      </c>
      <c r="H58" s="203">
        <f>'AEO2013 projections'!F55</f>
        <v>96.805297999999993</v>
      </c>
      <c r="I58" s="203">
        <f>'AEO2013 projections'!G55</f>
        <v>97.000731999999999</v>
      </c>
      <c r="J58" s="203">
        <f>'AEO2013 projections'!H55</f>
        <v>95.908195000000006</v>
      </c>
      <c r="K58" s="203">
        <f>'AEO2013 projections'!I55</f>
        <v>97.000731999999999</v>
      </c>
      <c r="L58" s="203">
        <f>'AEO2013 projections'!J55</f>
        <v>99.076545999999993</v>
      </c>
      <c r="M58" s="203">
        <f>'AEO2013 projections'!K55</f>
        <v>101.19678500000001</v>
      </c>
      <c r="N58" s="203">
        <f>'AEO2013 projections'!L55</f>
        <v>103.362396</v>
      </c>
      <c r="O58" s="203">
        <f>'AEO2013 projections'!M55</f>
        <v>105.574348</v>
      </c>
      <c r="P58" s="203">
        <f>'AEO2013 projections'!N55</f>
        <v>107.833641</v>
      </c>
      <c r="Q58" s="203">
        <f>'AEO2013 projections'!O55</f>
        <v>110.14128100000001</v>
      </c>
      <c r="R58" s="203">
        <f>'AEO2013 projections'!P55</f>
        <v>112.498299</v>
      </c>
      <c r="S58" s="203">
        <f>'AEO2013 projections'!Q55</f>
        <v>114.90576900000001</v>
      </c>
      <c r="T58" s="203">
        <f>'AEO2013 projections'!R55</f>
        <v>117.364761</v>
      </c>
      <c r="U58" s="203">
        <f>'AEO2013 projections'!S55</f>
        <v>119.876358</v>
      </c>
      <c r="V58" s="203">
        <f>'AEO2013 projections'!T55</f>
        <v>122.441711</v>
      </c>
      <c r="W58" s="203">
        <f>'AEO2013 projections'!U55</f>
        <v>125.06197400000001</v>
      </c>
      <c r="X58" s="203">
        <f>'AEO2013 projections'!V55</f>
        <v>127.738281</v>
      </c>
      <c r="Y58" s="203">
        <f>'AEO2013 projections'!W55</f>
        <v>130.47189299999999</v>
      </c>
      <c r="Z58" s="203">
        <f>'AEO2013 projections'!X55</f>
        <v>133.263992</v>
      </c>
      <c r="AA58" s="203">
        <f>'AEO2013 projections'!Y55</f>
        <v>136.11582899999999</v>
      </c>
      <c r="AB58" s="203">
        <f>'AEO2013 projections'!Z55</f>
        <v>139.028717</v>
      </c>
      <c r="AC58" s="203">
        <f>'AEO2013 projections'!AA55</f>
        <v>142.184662</v>
      </c>
      <c r="AD58" s="203">
        <f>'AEO2013 projections'!AB55</f>
        <v>145.412262</v>
      </c>
      <c r="AE58" s="203">
        <f>'AEO2013 projections'!AC55</f>
        <v>148.71312</v>
      </c>
      <c r="AF58" s="203">
        <f>'AEO2013 projections'!AD55</f>
        <v>152.088898</v>
      </c>
      <c r="AG58" s="203">
        <f>'AEO2013 projections'!AE55</f>
        <v>155.54132100000001</v>
      </c>
      <c r="AH58" s="203">
        <f>'AEO2013 projections'!AF55</f>
        <v>159.072113</v>
      </c>
      <c r="AI58" s="203">
        <f>'AEO2013 projections'!AG55</f>
        <v>162.683044</v>
      </c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3:48" x14ac:dyDescent="0.2"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3:48" x14ac:dyDescent="0.2">
      <c r="C60" s="77" t="s">
        <v>463</v>
      </c>
      <c r="E60" s="97">
        <f>ROUND(E58*($G$31/$F$31),2)</f>
        <v>82.74</v>
      </c>
      <c r="F60" s="97">
        <f t="shared" ref="F60:AI60" si="7">ROUND(F58*($G$31/$F$31),2)</f>
        <v>113.22</v>
      </c>
      <c r="G60" s="97">
        <f t="shared" si="7"/>
        <v>110.42</v>
      </c>
      <c r="H60" s="97">
        <f t="shared" si="7"/>
        <v>98.51</v>
      </c>
      <c r="I60" s="97">
        <f t="shared" si="7"/>
        <v>98.71</v>
      </c>
      <c r="J60" s="97">
        <f t="shared" si="7"/>
        <v>97.6</v>
      </c>
      <c r="K60" s="97">
        <f t="shared" si="7"/>
        <v>98.71</v>
      </c>
      <c r="L60" s="97">
        <f t="shared" si="7"/>
        <v>100.82</v>
      </c>
      <c r="M60" s="97">
        <f t="shared" si="7"/>
        <v>102.98</v>
      </c>
      <c r="N60" s="97">
        <f t="shared" si="7"/>
        <v>105.19</v>
      </c>
      <c r="O60" s="97">
        <f t="shared" si="7"/>
        <v>107.44</v>
      </c>
      <c r="P60" s="97">
        <f t="shared" si="7"/>
        <v>109.74</v>
      </c>
      <c r="Q60" s="97">
        <f t="shared" si="7"/>
        <v>112.08</v>
      </c>
      <c r="R60" s="97">
        <f t="shared" si="7"/>
        <v>114.48</v>
      </c>
      <c r="S60" s="97">
        <f t="shared" si="7"/>
        <v>116.93</v>
      </c>
      <c r="T60" s="97">
        <f t="shared" si="7"/>
        <v>119.43</v>
      </c>
      <c r="U60" s="97">
        <f t="shared" si="7"/>
        <v>121.99</v>
      </c>
      <c r="V60" s="97">
        <f t="shared" si="7"/>
        <v>124.6</v>
      </c>
      <c r="W60" s="97">
        <f t="shared" si="7"/>
        <v>127.27</v>
      </c>
      <c r="X60" s="97">
        <f t="shared" si="7"/>
        <v>129.99</v>
      </c>
      <c r="Y60" s="97">
        <f t="shared" si="7"/>
        <v>132.77000000000001</v>
      </c>
      <c r="Z60" s="97">
        <f t="shared" si="7"/>
        <v>135.61000000000001</v>
      </c>
      <c r="AA60" s="97">
        <f t="shared" si="7"/>
        <v>138.52000000000001</v>
      </c>
      <c r="AB60" s="97">
        <f t="shared" si="7"/>
        <v>141.47999999999999</v>
      </c>
      <c r="AC60" s="97">
        <f t="shared" si="7"/>
        <v>144.69</v>
      </c>
      <c r="AD60" s="97">
        <f t="shared" si="7"/>
        <v>147.97999999999999</v>
      </c>
      <c r="AE60" s="97">
        <f t="shared" si="7"/>
        <v>151.34</v>
      </c>
      <c r="AF60" s="97">
        <f t="shared" si="7"/>
        <v>154.77000000000001</v>
      </c>
      <c r="AG60" s="97">
        <f t="shared" si="7"/>
        <v>158.28</v>
      </c>
      <c r="AH60" s="97">
        <f t="shared" si="7"/>
        <v>161.88</v>
      </c>
      <c r="AI60" s="97">
        <f t="shared" si="7"/>
        <v>165.55</v>
      </c>
      <c r="AJ60" s="81">
        <f>AI60</f>
        <v>165.55</v>
      </c>
      <c r="AK60" s="81">
        <f t="shared" ref="AK60:AV60" si="8">AJ60</f>
        <v>165.55</v>
      </c>
      <c r="AL60" s="81">
        <f t="shared" si="8"/>
        <v>165.55</v>
      </c>
      <c r="AM60" s="81">
        <f t="shared" si="8"/>
        <v>165.55</v>
      </c>
      <c r="AN60" s="81">
        <f t="shared" si="8"/>
        <v>165.55</v>
      </c>
      <c r="AO60" s="81">
        <f t="shared" si="8"/>
        <v>165.55</v>
      </c>
      <c r="AP60" s="81">
        <f t="shared" si="8"/>
        <v>165.55</v>
      </c>
      <c r="AQ60" s="81">
        <f t="shared" si="8"/>
        <v>165.55</v>
      </c>
      <c r="AR60" s="81">
        <f t="shared" si="8"/>
        <v>165.55</v>
      </c>
      <c r="AS60" s="81">
        <f t="shared" si="8"/>
        <v>165.55</v>
      </c>
      <c r="AT60" s="81">
        <f t="shared" si="8"/>
        <v>165.55</v>
      </c>
      <c r="AU60" s="81">
        <f t="shared" si="8"/>
        <v>165.55</v>
      </c>
      <c r="AV60" s="81">
        <f t="shared" si="8"/>
        <v>165.55</v>
      </c>
    </row>
    <row r="61" spans="3:48" x14ac:dyDescent="0.2"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</row>
    <row r="62" spans="3:48" x14ac:dyDescent="0.2">
      <c r="C62" s="77" t="s">
        <v>450</v>
      </c>
      <c r="E62" s="176">
        <v>2.2000000000000002</v>
      </c>
      <c r="F62" s="174" t="s">
        <v>448</v>
      </c>
      <c r="G62" s="177">
        <v>0.1545</v>
      </c>
      <c r="H62" s="175" t="s">
        <v>468</v>
      </c>
      <c r="I62" s="77" t="s">
        <v>449</v>
      </c>
      <c r="N62" s="82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</row>
    <row r="63" spans="3:48" x14ac:dyDescent="0.2"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</row>
    <row r="64" spans="3:48" x14ac:dyDescent="0.2">
      <c r="C64" s="220" t="s">
        <v>475</v>
      </c>
      <c r="D64" s="220"/>
      <c r="E64" s="222">
        <f>$E$62+$G$62*E60</f>
        <v>14.983329999999999</v>
      </c>
      <c r="F64" s="222">
        <f t="shared" ref="F64:AV64" si="9">$E$62+$G$62*F60</f>
        <v>19.692489999999999</v>
      </c>
      <c r="G64" s="222">
        <f t="shared" si="9"/>
        <v>19.259889999999999</v>
      </c>
      <c r="H64" s="222">
        <f t="shared" si="9"/>
        <v>17.419795000000001</v>
      </c>
      <c r="I64" s="222">
        <f t="shared" si="9"/>
        <v>17.450695</v>
      </c>
      <c r="J64" s="222">
        <f t="shared" si="9"/>
        <v>17.279199999999999</v>
      </c>
      <c r="K64" s="222">
        <f t="shared" si="9"/>
        <v>17.450695</v>
      </c>
      <c r="L64" s="222">
        <f t="shared" si="9"/>
        <v>17.776689999999999</v>
      </c>
      <c r="M64" s="222">
        <f t="shared" si="9"/>
        <v>18.110410000000002</v>
      </c>
      <c r="N64" s="222">
        <f t="shared" si="9"/>
        <v>18.451854999999998</v>
      </c>
      <c r="O64" s="222">
        <f t="shared" si="9"/>
        <v>18.799479999999999</v>
      </c>
      <c r="P64" s="222">
        <f t="shared" si="9"/>
        <v>19.154829999999997</v>
      </c>
      <c r="Q64" s="222">
        <f t="shared" si="9"/>
        <v>19.516359999999999</v>
      </c>
      <c r="R64" s="222">
        <f t="shared" si="9"/>
        <v>19.887159999999998</v>
      </c>
      <c r="S64" s="222">
        <f t="shared" si="9"/>
        <v>20.265685000000001</v>
      </c>
      <c r="T64" s="222">
        <f t="shared" si="9"/>
        <v>20.651935000000002</v>
      </c>
      <c r="U64" s="222">
        <f t="shared" si="9"/>
        <v>21.047454999999999</v>
      </c>
      <c r="V64" s="222">
        <f t="shared" si="9"/>
        <v>21.450699999999998</v>
      </c>
      <c r="W64" s="222">
        <f t="shared" si="9"/>
        <v>21.863214999999997</v>
      </c>
      <c r="X64" s="222">
        <f t="shared" si="9"/>
        <v>22.283455</v>
      </c>
      <c r="Y64" s="222">
        <f t="shared" si="9"/>
        <v>22.712965000000001</v>
      </c>
      <c r="Z64" s="222">
        <f t="shared" si="9"/>
        <v>23.151745000000002</v>
      </c>
      <c r="AA64" s="222">
        <f t="shared" si="9"/>
        <v>23.60134</v>
      </c>
      <c r="AB64" s="222">
        <f t="shared" si="9"/>
        <v>24.058659999999996</v>
      </c>
      <c r="AC64" s="222">
        <f t="shared" si="9"/>
        <v>24.554604999999999</v>
      </c>
      <c r="AD64" s="222">
        <f t="shared" si="9"/>
        <v>25.062909999999999</v>
      </c>
      <c r="AE64" s="222">
        <f t="shared" si="9"/>
        <v>25.58203</v>
      </c>
      <c r="AF64" s="222">
        <f t="shared" si="9"/>
        <v>26.111965000000001</v>
      </c>
      <c r="AG64" s="222">
        <f t="shared" si="9"/>
        <v>26.654260000000001</v>
      </c>
      <c r="AH64" s="222">
        <f t="shared" si="9"/>
        <v>27.210459999999998</v>
      </c>
      <c r="AI64" s="222">
        <f t="shared" si="9"/>
        <v>27.777474999999999</v>
      </c>
      <c r="AJ64" s="222">
        <f t="shared" si="9"/>
        <v>27.777474999999999</v>
      </c>
      <c r="AK64" s="222">
        <f t="shared" si="9"/>
        <v>27.777474999999999</v>
      </c>
      <c r="AL64" s="222">
        <f t="shared" si="9"/>
        <v>27.777474999999999</v>
      </c>
      <c r="AM64" s="222">
        <f t="shared" si="9"/>
        <v>27.777474999999999</v>
      </c>
      <c r="AN64" s="222">
        <f t="shared" si="9"/>
        <v>27.777474999999999</v>
      </c>
      <c r="AO64" s="222">
        <f t="shared" si="9"/>
        <v>27.777474999999999</v>
      </c>
      <c r="AP64" s="222">
        <f t="shared" si="9"/>
        <v>27.777474999999999</v>
      </c>
      <c r="AQ64" s="222">
        <f t="shared" si="9"/>
        <v>27.777474999999999</v>
      </c>
      <c r="AR64" s="222">
        <f t="shared" si="9"/>
        <v>27.777474999999999</v>
      </c>
      <c r="AS64" s="222">
        <f t="shared" si="9"/>
        <v>27.777474999999999</v>
      </c>
      <c r="AT64" s="222">
        <f t="shared" si="9"/>
        <v>27.777474999999999</v>
      </c>
      <c r="AU64" s="222">
        <f t="shared" si="9"/>
        <v>27.777474999999999</v>
      </c>
      <c r="AV64" s="222">
        <f t="shared" si="9"/>
        <v>27.777474999999999</v>
      </c>
    </row>
    <row r="65" spans="3:48" x14ac:dyDescent="0.2"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</row>
    <row r="66" spans="3:48" x14ac:dyDescent="0.2">
      <c r="C66" s="77" t="s">
        <v>610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</row>
    <row r="67" spans="3:48" ht="15" x14ac:dyDescent="0.25">
      <c r="C67" s="291"/>
      <c r="D67" s="292">
        <v>2012</v>
      </c>
      <c r="E67" s="292">
        <v>2024</v>
      </c>
      <c r="F67" s="292">
        <v>2040</v>
      </c>
      <c r="G67" s="292">
        <v>2050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</row>
    <row r="68" spans="3:48" x14ac:dyDescent="0.2">
      <c r="C68" s="147" t="s">
        <v>609</v>
      </c>
      <c r="D68" s="81">
        <f>G64</f>
        <v>19.259889999999999</v>
      </c>
      <c r="E68" s="81">
        <f>S64</f>
        <v>20.265685000000001</v>
      </c>
      <c r="F68" s="81">
        <f>AI64</f>
        <v>27.777474999999999</v>
      </c>
      <c r="G68" s="81">
        <f>AS64</f>
        <v>27.777474999999999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</row>
    <row r="69" spans="3:48" x14ac:dyDescent="0.2"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</row>
    <row r="70" spans="3:48" x14ac:dyDescent="0.2">
      <c r="C70" s="80" t="s">
        <v>474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</row>
    <row r="71" spans="3:48" x14ac:dyDescent="0.2">
      <c r="C71" s="77" t="s">
        <v>453</v>
      </c>
      <c r="E71" s="203">
        <f>'AEO2013 projections'!C65</f>
        <v>79.609076999999999</v>
      </c>
      <c r="F71" s="203">
        <f>'AEO2013 projections'!D65</f>
        <v>111.260002</v>
      </c>
      <c r="G71" s="203">
        <f>'AEO2013 projections'!E65</f>
        <v>110.429581</v>
      </c>
      <c r="H71" s="203">
        <f>'AEO2013 projections'!F65</f>
        <v>100.199944</v>
      </c>
      <c r="I71" s="203">
        <f>'AEO2013 projections'!G65</f>
        <v>101.814072</v>
      </c>
      <c r="J71" s="203">
        <f>'AEO2013 projections'!H65</f>
        <v>102.21024300000001</v>
      </c>
      <c r="K71" s="203">
        <f>'AEO2013 projections'!I65</f>
        <v>104.991905</v>
      </c>
      <c r="L71" s="203">
        <f>'AEO2013 projections'!J65</f>
        <v>108.866219</v>
      </c>
      <c r="M71" s="203">
        <f>'AEO2013 projections'!K65</f>
        <v>112.989059</v>
      </c>
      <c r="N71" s="203">
        <f>'AEO2013 projections'!L65</f>
        <v>117.23279599999999</v>
      </c>
      <c r="O71" s="203">
        <f>'AEO2013 projections'!M65</f>
        <v>121.734543</v>
      </c>
      <c r="P71" s="203">
        <f>'AEO2013 projections'!N65</f>
        <v>126.496666</v>
      </c>
      <c r="Q71" s="203">
        <f>'AEO2013 projections'!O65</f>
        <v>131.549286</v>
      </c>
      <c r="R71" s="203">
        <f>'AEO2013 projections'!P65</f>
        <v>136.798553</v>
      </c>
      <c r="S71" s="203">
        <f>'AEO2013 projections'!Q65</f>
        <v>142.23902899999999</v>
      </c>
      <c r="T71" s="203">
        <f>'AEO2013 projections'!R65</f>
        <v>147.90152</v>
      </c>
      <c r="U71" s="203">
        <f>'AEO2013 projections'!S65</f>
        <v>153.81539900000001</v>
      </c>
      <c r="V71" s="203">
        <f>'AEO2013 projections'!T65</f>
        <v>159.95642100000001</v>
      </c>
      <c r="W71" s="203">
        <f>'AEO2013 projections'!U65</f>
        <v>166.36596700000001</v>
      </c>
      <c r="X71" s="203">
        <f>'AEO2013 projections'!V65</f>
        <v>173.072464</v>
      </c>
      <c r="Y71" s="203">
        <f>'AEO2013 projections'!W65</f>
        <v>180.043701</v>
      </c>
      <c r="Z71" s="203">
        <f>'AEO2013 projections'!X65</f>
        <v>187.332672</v>
      </c>
      <c r="AA71" s="203">
        <f>'AEO2013 projections'!Y65</f>
        <v>194.86944600000001</v>
      </c>
      <c r="AB71" s="203">
        <f>'AEO2013 projections'!Z65</f>
        <v>202.67918399999999</v>
      </c>
      <c r="AC71" s="203">
        <f>'AEO2013 projections'!AA65</f>
        <v>211.04418899999999</v>
      </c>
      <c r="AD71" s="203">
        <f>'AEO2013 projections'!AB65</f>
        <v>219.72679099999999</v>
      </c>
      <c r="AE71" s="203">
        <f>'AEO2013 projections'!AC65</f>
        <v>228.76440400000001</v>
      </c>
      <c r="AF71" s="203">
        <f>'AEO2013 projections'!AD65</f>
        <v>238.16383400000001</v>
      </c>
      <c r="AG71" s="203">
        <f>'AEO2013 projections'!AE65</f>
        <v>247.915817</v>
      </c>
      <c r="AH71" s="203">
        <f>'AEO2013 projections'!AF65</f>
        <v>258.02542099999999</v>
      </c>
      <c r="AI71" s="203">
        <f>'AEO2013 projections'!AG65</f>
        <v>268.49939000000001</v>
      </c>
      <c r="AS71" s="82"/>
    </row>
    <row r="72" spans="3:48" x14ac:dyDescent="0.2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S72" s="82"/>
    </row>
    <row r="73" spans="3:48" x14ac:dyDescent="0.2">
      <c r="C73" s="77" t="s">
        <v>451</v>
      </c>
      <c r="E73" s="81"/>
      <c r="F73" s="178">
        <f t="shared" ref="F73:K73" si="10">F71/F58</f>
        <v>1</v>
      </c>
      <c r="G73" s="178">
        <f t="shared" si="10"/>
        <v>1.0177533145355004</v>
      </c>
      <c r="H73" s="178">
        <f t="shared" si="10"/>
        <v>1.0350667377729679</v>
      </c>
      <c r="I73" s="178">
        <f t="shared" si="10"/>
        <v>1.0496216873909776</v>
      </c>
      <c r="J73" s="178">
        <f t="shared" si="10"/>
        <v>1.0657091711505988</v>
      </c>
      <c r="K73" s="178">
        <f t="shared" si="10"/>
        <v>1.0823826051127119</v>
      </c>
      <c r="L73" s="178">
        <f t="shared" ref="L73:AI73" si="11">L71/L58</f>
        <v>1.0988091873933514</v>
      </c>
      <c r="M73" s="178">
        <f t="shared" si="11"/>
        <v>1.1165281485968155</v>
      </c>
      <c r="N73" s="178">
        <f t="shared" si="11"/>
        <v>1.1341919357209946</v>
      </c>
      <c r="O73" s="178">
        <f t="shared" si="11"/>
        <v>1.1530693327132837</v>
      </c>
      <c r="P73" s="178">
        <f t="shared" si="11"/>
        <v>1.1730723810021402</v>
      </c>
      <c r="Q73" s="178">
        <f t="shared" si="11"/>
        <v>1.1943685855623922</v>
      </c>
      <c r="R73" s="178">
        <f t="shared" si="11"/>
        <v>1.2160055237812972</v>
      </c>
      <c r="S73" s="178">
        <f t="shared" si="11"/>
        <v>1.2378754368721032</v>
      </c>
      <c r="T73" s="178">
        <f t="shared" si="11"/>
        <v>1.2601867778693812</v>
      </c>
      <c r="U73" s="178">
        <f t="shared" si="11"/>
        <v>1.2831170513204948</v>
      </c>
      <c r="V73" s="178">
        <f t="shared" si="11"/>
        <v>1.306388318928343</v>
      </c>
      <c r="W73" s="178">
        <f t="shared" si="11"/>
        <v>1.3302681996687498</v>
      </c>
      <c r="X73" s="178">
        <f t="shared" si="11"/>
        <v>1.3548989593808609</v>
      </c>
      <c r="Y73" s="178">
        <f t="shared" si="11"/>
        <v>1.379942429439573</v>
      </c>
      <c r="Z73" s="178">
        <f t="shared" si="11"/>
        <v>1.4057261019165628</v>
      </c>
      <c r="AA73" s="178">
        <f t="shared" si="11"/>
        <v>1.4316442652676349</v>
      </c>
      <c r="AB73" s="178">
        <f t="shared" si="11"/>
        <v>1.4578224439775274</v>
      </c>
      <c r="AC73" s="178">
        <f t="shared" si="11"/>
        <v>1.4842964496409605</v>
      </c>
      <c r="AD73" s="178">
        <f t="shared" si="11"/>
        <v>1.5110609516548199</v>
      </c>
      <c r="AE73" s="178">
        <f t="shared" si="11"/>
        <v>1.5382933530007306</v>
      </c>
      <c r="AF73" s="178">
        <f t="shared" si="11"/>
        <v>1.5659514739859579</v>
      </c>
      <c r="AG73" s="178">
        <f t="shared" si="11"/>
        <v>1.593890391351376</v>
      </c>
      <c r="AH73" s="178">
        <f t="shared" si="11"/>
        <v>1.6220657168236647</v>
      </c>
      <c r="AI73" s="178">
        <f t="shared" si="11"/>
        <v>1.6504448367710651</v>
      </c>
      <c r="AS73" s="82"/>
    </row>
    <row r="74" spans="3:48" x14ac:dyDescent="0.2">
      <c r="C74" s="77" t="s">
        <v>470</v>
      </c>
      <c r="E74" s="81">
        <v>1.110015</v>
      </c>
      <c r="F74" s="178">
        <v>1.1336900000000001</v>
      </c>
      <c r="G74" s="178">
        <v>1.1538170000000001</v>
      </c>
      <c r="H74" s="178">
        <v>1.1734450000000001</v>
      </c>
      <c r="I74" s="178">
        <v>1.1899459999999999</v>
      </c>
      <c r="J74" s="178">
        <v>1.2081839999999999</v>
      </c>
      <c r="K74" s="178">
        <v>1.2270859999999999</v>
      </c>
      <c r="L74" s="178">
        <v>1.245709</v>
      </c>
      <c r="M74" s="178">
        <v>1.2657970000000001</v>
      </c>
      <c r="N74" s="178">
        <v>1.285822</v>
      </c>
      <c r="O74" s="178">
        <v>1.307223</v>
      </c>
      <c r="P74" s="178">
        <v>1.3299000000000001</v>
      </c>
      <c r="Q74" s="178">
        <v>1.354044</v>
      </c>
      <c r="R74" s="178">
        <v>1.378573</v>
      </c>
      <c r="S74" s="178">
        <v>1.403367</v>
      </c>
      <c r="T74" s="178">
        <v>1.428661</v>
      </c>
      <c r="U74" s="178">
        <v>1.4546570000000001</v>
      </c>
      <c r="V74" s="178">
        <v>1.481039</v>
      </c>
      <c r="W74" s="178">
        <v>1.5081119999999999</v>
      </c>
      <c r="X74" s="178">
        <v>1.536035</v>
      </c>
      <c r="Y74" s="178">
        <v>1.564427</v>
      </c>
      <c r="Z74" s="178">
        <v>1.593658</v>
      </c>
      <c r="AA74" s="178">
        <v>1.623041</v>
      </c>
      <c r="AB74" s="178">
        <v>1.652719</v>
      </c>
      <c r="AC74" s="178">
        <v>1.6827319999999999</v>
      </c>
      <c r="AD74" s="178">
        <v>1.7130749999999999</v>
      </c>
      <c r="AE74" s="178">
        <v>1.7439480000000001</v>
      </c>
      <c r="AF74" s="178">
        <v>1.7753030000000001</v>
      </c>
      <c r="AG74" s="178">
        <v>1.806978</v>
      </c>
      <c r="AH74" s="178">
        <v>1.8389200000000001</v>
      </c>
      <c r="AI74" s="178">
        <v>1.8710929999999999</v>
      </c>
      <c r="AS74" s="82"/>
    </row>
    <row r="75" spans="3:48" ht="15" x14ac:dyDescent="0.25">
      <c r="C75" s="77" t="s">
        <v>464</v>
      </c>
      <c r="E75" s="12"/>
      <c r="F75" s="179">
        <f>F74/$F$74</f>
        <v>1</v>
      </c>
      <c r="G75" s="180">
        <f>G74/$F$74</f>
        <v>1.0177535305065759</v>
      </c>
      <c r="H75" s="180">
        <f>H74/$F$74</f>
        <v>1.0350669054150605</v>
      </c>
      <c r="I75" s="180">
        <f t="shared" ref="I75:AI75" si="12">I74/$F$74</f>
        <v>1.0496220307138635</v>
      </c>
      <c r="J75" s="180">
        <f t="shared" si="12"/>
        <v>1.0657093208901902</v>
      </c>
      <c r="K75" s="180">
        <f t="shared" si="12"/>
        <v>1.082382309096843</v>
      </c>
      <c r="L75" s="180">
        <f t="shared" si="12"/>
        <v>1.0988091982817172</v>
      </c>
      <c r="M75" s="180">
        <f t="shared" si="12"/>
        <v>1.1165283278497649</v>
      </c>
      <c r="N75" s="180">
        <f t="shared" si="12"/>
        <v>1.1341918866709593</v>
      </c>
      <c r="O75" s="180">
        <f t="shared" si="12"/>
        <v>1.1530691811694553</v>
      </c>
      <c r="P75" s="180">
        <f t="shared" si="12"/>
        <v>1.1730720038105655</v>
      </c>
      <c r="Q75" s="180">
        <f t="shared" si="12"/>
        <v>1.1943688309855427</v>
      </c>
      <c r="R75" s="180">
        <f t="shared" si="12"/>
        <v>1.2160052571690674</v>
      </c>
      <c r="S75" s="180">
        <f t="shared" si="12"/>
        <v>1.2378754333195141</v>
      </c>
      <c r="T75" s="180">
        <f t="shared" si="12"/>
        <v>1.2601866471433989</v>
      </c>
      <c r="U75" s="180">
        <f t="shared" si="12"/>
        <v>1.2831170778607908</v>
      </c>
      <c r="V75" s="180">
        <f t="shared" si="12"/>
        <v>1.3063879896620769</v>
      </c>
      <c r="W75" s="180">
        <f t="shared" si="12"/>
        <v>1.3302684155280542</v>
      </c>
      <c r="X75" s="180">
        <f t="shared" si="12"/>
        <v>1.3548986054388765</v>
      </c>
      <c r="Y75" s="180">
        <f t="shared" si="12"/>
        <v>1.3799424886873837</v>
      </c>
      <c r="Z75" s="180">
        <f t="shared" si="12"/>
        <v>1.4057264331519197</v>
      </c>
      <c r="AA75" s="180">
        <f t="shared" si="12"/>
        <v>1.431644453069181</v>
      </c>
      <c r="AB75" s="180">
        <f t="shared" si="12"/>
        <v>1.4578226852137708</v>
      </c>
      <c r="AC75" s="180">
        <f t="shared" si="12"/>
        <v>1.4842964125995641</v>
      </c>
      <c r="AD75" s="180">
        <f t="shared" si="12"/>
        <v>1.5110612248498265</v>
      </c>
      <c r="AE75" s="180">
        <f t="shared" si="12"/>
        <v>1.5382935370339335</v>
      </c>
      <c r="AF75" s="180">
        <f t="shared" si="12"/>
        <v>1.5659510095352345</v>
      </c>
      <c r="AG75" s="180">
        <f t="shared" si="12"/>
        <v>1.5938907461475358</v>
      </c>
      <c r="AH75" s="180">
        <f t="shared" si="12"/>
        <v>1.6220659968774533</v>
      </c>
      <c r="AI75" s="180">
        <f t="shared" si="12"/>
        <v>1.6504450070124987</v>
      </c>
      <c r="AS75" s="82"/>
    </row>
    <row r="76" spans="3:48" ht="15" x14ac:dyDescent="0.25">
      <c r="E76" s="12"/>
      <c r="F76" s="179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S76" s="82"/>
    </row>
    <row r="77" spans="3:48" x14ac:dyDescent="0.2">
      <c r="N77" s="82"/>
      <c r="X77" s="82"/>
      <c r="AI77" s="82"/>
      <c r="AS77" s="82"/>
    </row>
    <row r="78" spans="3:48" x14ac:dyDescent="0.2">
      <c r="C78" s="80" t="s">
        <v>471</v>
      </c>
      <c r="N78" s="82"/>
      <c r="X78" s="82"/>
      <c r="AI78" s="82"/>
      <c r="AS78" s="82"/>
    </row>
    <row r="79" spans="3:48" x14ac:dyDescent="0.2">
      <c r="C79" s="77" t="s">
        <v>447</v>
      </c>
      <c r="E79" s="196">
        <v>81.307022000000003</v>
      </c>
      <c r="F79" s="196">
        <v>111.260002</v>
      </c>
      <c r="G79" s="196">
        <v>108.503288</v>
      </c>
      <c r="H79" s="196">
        <v>96.809997999999993</v>
      </c>
      <c r="I79" s="196">
        <v>84.699996999999996</v>
      </c>
      <c r="J79" s="196">
        <v>78.699996999999996</v>
      </c>
      <c r="K79" s="196">
        <v>73.669998000000007</v>
      </c>
      <c r="L79" s="196">
        <v>69</v>
      </c>
      <c r="M79" s="196">
        <v>68.800003000000004</v>
      </c>
      <c r="N79" s="196">
        <v>68.699996999999996</v>
      </c>
      <c r="O79" s="196">
        <v>68.900002000000001</v>
      </c>
      <c r="P79" s="196">
        <v>69.199996999999996</v>
      </c>
      <c r="Q79" s="196">
        <v>69.5</v>
      </c>
      <c r="R79" s="196">
        <v>69.800003000000004</v>
      </c>
      <c r="S79" s="196">
        <v>70.099997999999999</v>
      </c>
      <c r="T79" s="196">
        <v>70.400002000000001</v>
      </c>
      <c r="U79" s="196">
        <v>70.699996999999996</v>
      </c>
      <c r="V79" s="196">
        <v>71</v>
      </c>
      <c r="W79" s="196">
        <v>71.300003000000004</v>
      </c>
      <c r="X79" s="196">
        <v>71.599997999999999</v>
      </c>
      <c r="Y79" s="196">
        <v>71.900002000000001</v>
      </c>
      <c r="Z79" s="196">
        <v>72.199996999999996</v>
      </c>
      <c r="AA79" s="196">
        <v>72.5</v>
      </c>
      <c r="AB79" s="196">
        <v>72.800003000000004</v>
      </c>
      <c r="AC79" s="196">
        <v>73.099997999999999</v>
      </c>
      <c r="AD79" s="196">
        <v>73.400002000000001</v>
      </c>
      <c r="AE79" s="196">
        <v>73.699996999999996</v>
      </c>
      <c r="AF79" s="196">
        <v>74</v>
      </c>
      <c r="AG79" s="196">
        <v>74.300003000000004</v>
      </c>
      <c r="AH79" s="196">
        <v>74.599997999999999</v>
      </c>
      <c r="AI79" s="196">
        <v>74.900002000000001</v>
      </c>
      <c r="AS79" s="82"/>
    </row>
    <row r="80" spans="3:48" x14ac:dyDescent="0.2">
      <c r="C80" s="77" t="s">
        <v>452</v>
      </c>
      <c r="E80" s="81">
        <f t="shared" ref="E80:F80" si="13">E79*$G$74/$F$74</f>
        <v>82.75050869547583</v>
      </c>
      <c r="F80" s="81">
        <f t="shared" si="13"/>
        <v>113.2352598396687</v>
      </c>
      <c r="G80" s="81">
        <f>G79*$G$74/$F$74</f>
        <v>110.42960443357178</v>
      </c>
      <c r="H80" s="81">
        <f>H79*$G$74/$F$74</f>
        <v>98.528717252834539</v>
      </c>
      <c r="I80" s="81">
        <f>I79*$G$74/$F$74</f>
        <v>86.203720980646381</v>
      </c>
      <c r="J80" s="81">
        <f t="shared" ref="J80:AI80" si="14">J79*$G$74/$F$74</f>
        <v>80.097199797606919</v>
      </c>
      <c r="K80" s="81">
        <f t="shared" si="14"/>
        <v>74.977900556912388</v>
      </c>
      <c r="L80" s="81">
        <f t="shared" si="14"/>
        <v>70.224993604953738</v>
      </c>
      <c r="M80" s="81">
        <f t="shared" si="14"/>
        <v>70.021445952113012</v>
      </c>
      <c r="N80" s="81">
        <f t="shared" si="14"/>
        <v>69.919664492541173</v>
      </c>
      <c r="O80" s="81">
        <f t="shared" si="14"/>
        <v>70.123220287410135</v>
      </c>
      <c r="P80" s="81">
        <f t="shared" si="14"/>
        <v>70.42854125779445</v>
      </c>
      <c r="Q80" s="81">
        <f t="shared" si="14"/>
        <v>70.733870370207029</v>
      </c>
      <c r="R80" s="81">
        <f t="shared" si="14"/>
        <v>71.039199482619594</v>
      </c>
      <c r="S80" s="81">
        <f t="shared" si="14"/>
        <v>71.344520453003909</v>
      </c>
      <c r="T80" s="81">
        <f t="shared" si="14"/>
        <v>71.649850583170007</v>
      </c>
      <c r="U80" s="81">
        <f t="shared" si="14"/>
        <v>71.955171553554322</v>
      </c>
      <c r="V80" s="81">
        <f t="shared" si="14"/>
        <v>72.260500665966887</v>
      </c>
      <c r="W80" s="81">
        <f t="shared" si="14"/>
        <v>72.565829778379452</v>
      </c>
      <c r="X80" s="81">
        <f t="shared" si="14"/>
        <v>72.871150748763768</v>
      </c>
      <c r="Y80" s="81">
        <f t="shared" si="14"/>
        <v>73.176480878929866</v>
      </c>
      <c r="Z80" s="81">
        <f t="shared" si="14"/>
        <v>73.481801849314181</v>
      </c>
      <c r="AA80" s="81">
        <f t="shared" si="14"/>
        <v>73.787130961726746</v>
      </c>
      <c r="AB80" s="81">
        <f t="shared" si="14"/>
        <v>74.092460074139325</v>
      </c>
      <c r="AC80" s="81">
        <f t="shared" si="14"/>
        <v>74.39778104452364</v>
      </c>
      <c r="AD80" s="81">
        <f t="shared" si="14"/>
        <v>74.703111174689724</v>
      </c>
      <c r="AE80" s="81">
        <f t="shared" si="14"/>
        <v>75.008432145074039</v>
      </c>
      <c r="AF80" s="81">
        <f t="shared" si="14"/>
        <v>75.313761257486618</v>
      </c>
      <c r="AG80" s="81">
        <f t="shared" si="14"/>
        <v>75.619090369899183</v>
      </c>
      <c r="AH80" s="81">
        <f t="shared" si="14"/>
        <v>75.924411340283498</v>
      </c>
      <c r="AI80" s="81">
        <f t="shared" si="14"/>
        <v>76.229741470449596</v>
      </c>
      <c r="AS80" s="82"/>
    </row>
    <row r="81" spans="3:45" x14ac:dyDescent="0.2">
      <c r="C81" s="77" t="s">
        <v>455</v>
      </c>
      <c r="E81" s="97">
        <f>0.9+0.1485*E80</f>
        <v>13.18845054127816</v>
      </c>
      <c r="F81" s="97">
        <f>0.9+0.1485*F80</f>
        <v>17.715436086190799</v>
      </c>
      <c r="G81" s="97">
        <f>0.9+0.1485*G80</f>
        <v>17.298796258385408</v>
      </c>
      <c r="H81" s="97">
        <f t="shared" ref="H81:AI81" si="15">0.9+0.1485*H80</f>
        <v>15.531514512045929</v>
      </c>
      <c r="I81" s="97">
        <f t="shared" si="15"/>
        <v>13.701252565625987</v>
      </c>
      <c r="J81" s="97">
        <f t="shared" si="15"/>
        <v>12.794434169944628</v>
      </c>
      <c r="K81" s="97">
        <f t="shared" si="15"/>
        <v>12.034218232701489</v>
      </c>
      <c r="L81" s="97">
        <f t="shared" si="15"/>
        <v>11.32841155033563</v>
      </c>
      <c r="M81" s="97">
        <f t="shared" si="15"/>
        <v>11.298184723888783</v>
      </c>
      <c r="N81" s="97">
        <f t="shared" si="15"/>
        <v>11.283070177142363</v>
      </c>
      <c r="O81" s="97">
        <f t="shared" si="15"/>
        <v>11.313298212680404</v>
      </c>
      <c r="P81" s="97">
        <f t="shared" si="15"/>
        <v>11.358638376782476</v>
      </c>
      <c r="Q81" s="97">
        <f t="shared" si="15"/>
        <v>11.403979749975743</v>
      </c>
      <c r="R81" s="97">
        <f t="shared" si="15"/>
        <v>11.44932112316901</v>
      </c>
      <c r="S81" s="97">
        <f t="shared" si="15"/>
        <v>11.49466128727108</v>
      </c>
      <c r="T81" s="97">
        <f t="shared" si="15"/>
        <v>11.540002811600745</v>
      </c>
      <c r="U81" s="97">
        <f t="shared" si="15"/>
        <v>11.585342975702817</v>
      </c>
      <c r="V81" s="97">
        <f t="shared" si="15"/>
        <v>11.630684348896082</v>
      </c>
      <c r="W81" s="97">
        <f t="shared" si="15"/>
        <v>11.676025722089349</v>
      </c>
      <c r="X81" s="97">
        <f t="shared" si="15"/>
        <v>11.721365886191419</v>
      </c>
      <c r="Y81" s="97">
        <f t="shared" si="15"/>
        <v>11.766707410521084</v>
      </c>
      <c r="Z81" s="97">
        <f t="shared" si="15"/>
        <v>11.812047574623156</v>
      </c>
      <c r="AA81" s="97">
        <f t="shared" si="15"/>
        <v>11.857388947816421</v>
      </c>
      <c r="AB81" s="97">
        <f t="shared" si="15"/>
        <v>11.90273032100969</v>
      </c>
      <c r="AC81" s="97">
        <f t="shared" si="15"/>
        <v>11.94807048511176</v>
      </c>
      <c r="AD81" s="97">
        <f t="shared" si="15"/>
        <v>11.993412009441425</v>
      </c>
      <c r="AE81" s="97">
        <f t="shared" si="15"/>
        <v>12.038752173543495</v>
      </c>
      <c r="AF81" s="97">
        <f t="shared" si="15"/>
        <v>12.084093546736762</v>
      </c>
      <c r="AG81" s="97">
        <f t="shared" si="15"/>
        <v>12.129434919930029</v>
      </c>
      <c r="AH81" s="97">
        <f t="shared" si="15"/>
        <v>12.174775084032099</v>
      </c>
      <c r="AI81" s="97">
        <f t="shared" si="15"/>
        <v>12.220116608361765</v>
      </c>
      <c r="AS81" s="82"/>
    </row>
    <row r="82" spans="3:45" x14ac:dyDescent="0.2">
      <c r="C82" s="77" t="s">
        <v>472</v>
      </c>
      <c r="G82" s="181">
        <f t="shared" ref="G82:AI82" si="16">G81*G37</f>
        <v>17.298796258385408</v>
      </c>
      <c r="H82" s="181">
        <f t="shared" si="16"/>
        <v>15.919802374847075</v>
      </c>
      <c r="I82" s="181">
        <f t="shared" si="16"/>
        <v>14.394878476760802</v>
      </c>
      <c r="J82" s="181">
        <f t="shared" si="16"/>
        <v>13.778206209793025</v>
      </c>
      <c r="K82" s="181">
        <f t="shared" si="16"/>
        <v>13.283525213850307</v>
      </c>
      <c r="L82" s="181">
        <f t="shared" si="16"/>
        <v>12.817057867054746</v>
      </c>
      <c r="M82" s="181">
        <f t="shared" si="16"/>
        <v>13.102430462047241</v>
      </c>
      <c r="N82" s="181">
        <f t="shared" si="16"/>
        <v>13.412024777207799</v>
      </c>
      <c r="O82" s="181">
        <f t="shared" si="16"/>
        <v>13.784155322723576</v>
      </c>
      <c r="P82" s="181">
        <f t="shared" si="16"/>
        <v>14.18538285779009</v>
      </c>
      <c r="Q82" s="181">
        <f t="shared" si="16"/>
        <v>14.598058220272181</v>
      </c>
      <c r="R82" s="181">
        <f t="shared" si="16"/>
        <v>15.022501486592258</v>
      </c>
      <c r="S82" s="181">
        <f t="shared" si="16"/>
        <v>15.45904150374743</v>
      </c>
      <c r="T82" s="181">
        <f t="shared" si="16"/>
        <v>15.908021333420006</v>
      </c>
      <c r="U82" s="181">
        <f t="shared" si="16"/>
        <v>16.369786331670387</v>
      </c>
      <c r="V82" s="181">
        <f t="shared" si="16"/>
        <v>16.844698817624455</v>
      </c>
      <c r="W82" s="181">
        <f t="shared" si="16"/>
        <v>17.333125811418938</v>
      </c>
      <c r="X82" s="181">
        <f t="shared" si="16"/>
        <v>17.835444378366887</v>
      </c>
      <c r="Y82" s="181">
        <f t="shared" si="16"/>
        <v>18.352047791520921</v>
      </c>
      <c r="Z82" s="181">
        <f t="shared" si="16"/>
        <v>18.88333204806808</v>
      </c>
      <c r="AA82" s="181">
        <f t="shared" si="16"/>
        <v>19.429712468809608</v>
      </c>
      <c r="AB82" s="181">
        <f t="shared" si="16"/>
        <v>19.991609828058174</v>
      </c>
      <c r="AC82" s="181">
        <f t="shared" si="16"/>
        <v>20.569456403439336</v>
      </c>
      <c r="AD82" s="181">
        <f t="shared" si="16"/>
        <v>21.163702951719166</v>
      </c>
      <c r="AE82" s="181">
        <f t="shared" si="16"/>
        <v>21.774803456881891</v>
      </c>
      <c r="AF82" s="181">
        <f t="shared" si="16"/>
        <v>22.403233914545417</v>
      </c>
      <c r="AG82" s="181">
        <f t="shared" si="16"/>
        <v>23.049476642931566</v>
      </c>
      <c r="AH82" s="181">
        <f t="shared" si="16"/>
        <v>23.714027131472577</v>
      </c>
      <c r="AI82" s="181">
        <f t="shared" si="16"/>
        <v>24.39740193722643</v>
      </c>
      <c r="AS82" s="82"/>
    </row>
    <row r="83" spans="3:45" x14ac:dyDescent="0.2">
      <c r="C83" s="77" t="s">
        <v>456</v>
      </c>
      <c r="J83" s="97">
        <v>10.89</v>
      </c>
      <c r="K83" s="97"/>
      <c r="L83" s="97">
        <v>11.69</v>
      </c>
      <c r="M83" s="97"/>
      <c r="N83" s="97">
        <v>12.25</v>
      </c>
      <c r="P83" s="77">
        <v>12.54</v>
      </c>
      <c r="R83" s="77">
        <v>12.74</v>
      </c>
      <c r="X83" s="82"/>
      <c r="AI83" s="82"/>
      <c r="AS83" s="82"/>
    </row>
    <row r="84" spans="3:45" x14ac:dyDescent="0.2">
      <c r="N84" s="82"/>
      <c r="X84" s="82"/>
      <c r="AI84" s="82"/>
      <c r="AS84" s="82"/>
    </row>
    <row r="85" spans="3:45" x14ac:dyDescent="0.2">
      <c r="N85" s="82"/>
      <c r="X85" s="82"/>
      <c r="AI85" s="82"/>
      <c r="AS85" s="82"/>
    </row>
    <row r="86" spans="3:45" x14ac:dyDescent="0.2">
      <c r="N86" s="82"/>
      <c r="X86" s="82"/>
      <c r="AI86" s="82"/>
      <c r="AS86" s="82"/>
    </row>
  </sheetData>
  <hyperlinks>
    <hyperlink ref="C34" r:id="rId1"/>
    <hyperlink ref="C49" r:id="rId2"/>
  </hyperlinks>
  <pageMargins left="0.7" right="0.7" top="0.75" bottom="0.75" header="0.3" footer="0.3"/>
  <pageSetup orientation="portrait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opLeftCell="A37" workbookViewId="0">
      <selection activeCell="H11" sqref="H11"/>
    </sheetView>
  </sheetViews>
  <sheetFormatPr defaultRowHeight="15" x14ac:dyDescent="0.25"/>
  <cols>
    <col min="1" max="1" width="11.28515625" customWidth="1"/>
    <col min="2" max="2" width="40.85546875" customWidth="1"/>
  </cols>
  <sheetData>
    <row r="1" spans="1:34" ht="15.75" customHeight="1" x14ac:dyDescent="0.25">
      <c r="B1" s="161" t="s">
        <v>318</v>
      </c>
      <c r="C1" s="16">
        <v>2010</v>
      </c>
      <c r="D1" s="16">
        <v>2011</v>
      </c>
      <c r="E1" s="16">
        <v>2012</v>
      </c>
      <c r="F1" s="16">
        <v>2013</v>
      </c>
      <c r="G1" s="16">
        <v>2014</v>
      </c>
      <c r="H1" s="16">
        <v>2015</v>
      </c>
      <c r="I1" s="16">
        <v>2016</v>
      </c>
      <c r="J1" s="16">
        <v>2017</v>
      </c>
      <c r="K1" s="16">
        <v>2018</v>
      </c>
      <c r="L1" s="16">
        <v>2019</v>
      </c>
      <c r="M1" s="16">
        <v>2020</v>
      </c>
      <c r="N1" s="16">
        <v>2021</v>
      </c>
      <c r="O1" s="16">
        <v>2022</v>
      </c>
      <c r="P1" s="16">
        <v>2023</v>
      </c>
      <c r="Q1" s="16">
        <v>2024</v>
      </c>
      <c r="R1" s="16">
        <v>2025</v>
      </c>
      <c r="S1" s="16">
        <v>2026</v>
      </c>
      <c r="T1" s="16">
        <v>2027</v>
      </c>
      <c r="U1" s="16">
        <v>2028</v>
      </c>
      <c r="V1" s="16">
        <v>2029</v>
      </c>
      <c r="W1" s="16">
        <v>2030</v>
      </c>
      <c r="X1" s="16">
        <v>2031</v>
      </c>
      <c r="Y1" s="16">
        <v>2032</v>
      </c>
      <c r="Z1" s="16">
        <v>2033</v>
      </c>
      <c r="AA1" s="16">
        <v>2034</v>
      </c>
      <c r="AB1" s="16">
        <v>2035</v>
      </c>
      <c r="AC1" s="16">
        <v>2036</v>
      </c>
      <c r="AD1" s="16">
        <v>2037</v>
      </c>
      <c r="AE1" s="16">
        <v>2038</v>
      </c>
      <c r="AF1" s="16">
        <v>2039</v>
      </c>
      <c r="AG1" s="16">
        <v>2040</v>
      </c>
    </row>
    <row r="3" spans="1:34" x14ac:dyDescent="0.25">
      <c r="C3" s="162" t="s">
        <v>319</v>
      </c>
      <c r="D3" s="162" t="s">
        <v>320</v>
      </c>
      <c r="G3" s="162"/>
    </row>
    <row r="4" spans="1:34" x14ac:dyDescent="0.25">
      <c r="C4" s="162" t="s">
        <v>321</v>
      </c>
      <c r="D4" s="162" t="s">
        <v>322</v>
      </c>
      <c r="G4" s="162" t="s">
        <v>323</v>
      </c>
    </row>
    <row r="5" spans="1:34" x14ac:dyDescent="0.25">
      <c r="C5" s="162" t="s">
        <v>324</v>
      </c>
      <c r="D5" s="162" t="s">
        <v>325</v>
      </c>
    </row>
    <row r="6" spans="1:34" x14ac:dyDescent="0.25">
      <c r="C6" s="162" t="s">
        <v>326</v>
      </c>
      <c r="D6" s="162"/>
      <c r="E6" s="162" t="s">
        <v>327</v>
      </c>
      <c r="G6" s="162"/>
    </row>
    <row r="7" spans="1:34" x14ac:dyDescent="0.25">
      <c r="C7" s="163" t="s">
        <v>328</v>
      </c>
    </row>
    <row r="11" spans="1:34" ht="15.75" customHeight="1" x14ac:dyDescent="0.25">
      <c r="A11" s="164" t="s">
        <v>85</v>
      </c>
      <c r="B11" s="161" t="s">
        <v>329</v>
      </c>
    </row>
    <row r="12" spans="1:34" x14ac:dyDescent="0.25">
      <c r="B12" s="16" t="s">
        <v>330</v>
      </c>
    </row>
    <row r="13" spans="1:34" x14ac:dyDescent="0.25">
      <c r="B13" s="16" t="s">
        <v>86</v>
      </c>
      <c r="C13" s="165" t="s">
        <v>86</v>
      </c>
      <c r="D13" s="165" t="s">
        <v>86</v>
      </c>
      <c r="E13" s="165" t="s">
        <v>86</v>
      </c>
      <c r="F13" s="165" t="s">
        <v>86</v>
      </c>
      <c r="G13" s="165" t="s">
        <v>86</v>
      </c>
      <c r="H13" s="165" t="s">
        <v>86</v>
      </c>
      <c r="I13" s="165" t="s">
        <v>86</v>
      </c>
      <c r="J13" s="165" t="s">
        <v>86</v>
      </c>
      <c r="K13" s="165" t="s">
        <v>86</v>
      </c>
      <c r="L13" s="165" t="s">
        <v>86</v>
      </c>
      <c r="M13" s="165" t="s">
        <v>86</v>
      </c>
      <c r="N13" s="165" t="s">
        <v>86</v>
      </c>
      <c r="O13" s="165" t="s">
        <v>86</v>
      </c>
      <c r="P13" s="165" t="s">
        <v>86</v>
      </c>
      <c r="Q13" s="165" t="s">
        <v>86</v>
      </c>
      <c r="R13" s="165" t="s">
        <v>86</v>
      </c>
      <c r="S13" s="165" t="s">
        <v>86</v>
      </c>
      <c r="T13" s="165" t="s">
        <v>86</v>
      </c>
      <c r="U13" s="165" t="s">
        <v>86</v>
      </c>
      <c r="V13" s="165" t="s">
        <v>86</v>
      </c>
      <c r="W13" s="165" t="s">
        <v>86</v>
      </c>
      <c r="X13" s="165" t="s">
        <v>86</v>
      </c>
      <c r="Y13" s="165" t="s">
        <v>86</v>
      </c>
      <c r="Z13" s="165" t="s">
        <v>86</v>
      </c>
      <c r="AA13" s="165" t="s">
        <v>86</v>
      </c>
      <c r="AB13" s="165" t="s">
        <v>86</v>
      </c>
      <c r="AC13" s="165" t="s">
        <v>86</v>
      </c>
      <c r="AD13" s="165" t="s">
        <v>86</v>
      </c>
      <c r="AE13" s="165" t="s">
        <v>86</v>
      </c>
      <c r="AF13" s="165" t="s">
        <v>86</v>
      </c>
      <c r="AG13" s="165" t="s">
        <v>86</v>
      </c>
      <c r="AH13" s="165" t="s">
        <v>331</v>
      </c>
    </row>
    <row r="14" spans="1:34" x14ac:dyDescent="0.25">
      <c r="B14" s="166" t="s">
        <v>87</v>
      </c>
      <c r="C14" s="16">
        <v>2010</v>
      </c>
      <c r="D14" s="16">
        <v>2011</v>
      </c>
      <c r="E14" s="16">
        <v>2012</v>
      </c>
      <c r="F14" s="16">
        <v>2013</v>
      </c>
      <c r="G14" s="16">
        <v>2014</v>
      </c>
      <c r="H14" s="16">
        <v>2015</v>
      </c>
      <c r="I14" s="16">
        <v>2016</v>
      </c>
      <c r="J14" s="16">
        <v>2017</v>
      </c>
      <c r="K14" s="16">
        <v>2018</v>
      </c>
      <c r="L14" s="16">
        <v>2019</v>
      </c>
      <c r="M14" s="16">
        <v>2020</v>
      </c>
      <c r="N14" s="16">
        <v>2021</v>
      </c>
      <c r="O14" s="16">
        <v>2022</v>
      </c>
      <c r="P14" s="16">
        <v>2023</v>
      </c>
      <c r="Q14" s="16">
        <v>2024</v>
      </c>
      <c r="R14" s="16">
        <v>2025</v>
      </c>
      <c r="S14" s="16">
        <v>2026</v>
      </c>
      <c r="T14" s="16">
        <v>2027</v>
      </c>
      <c r="U14" s="16">
        <v>2028</v>
      </c>
      <c r="V14" s="16">
        <v>2029</v>
      </c>
      <c r="W14" s="16">
        <v>2030</v>
      </c>
      <c r="X14" s="16">
        <v>2031</v>
      </c>
      <c r="Y14" s="16">
        <v>2032</v>
      </c>
      <c r="Z14" s="16">
        <v>2033</v>
      </c>
      <c r="AA14" s="16">
        <v>2034</v>
      </c>
      <c r="AB14" s="16">
        <v>2035</v>
      </c>
      <c r="AC14" s="16">
        <v>2036</v>
      </c>
      <c r="AD14" s="16">
        <v>2037</v>
      </c>
      <c r="AE14" s="16">
        <v>2038</v>
      </c>
      <c r="AF14" s="16">
        <v>2039</v>
      </c>
      <c r="AG14" s="16">
        <v>2040</v>
      </c>
      <c r="AH14" s="165">
        <v>2040</v>
      </c>
    </row>
    <row r="15" spans="1:34" x14ac:dyDescent="0.25">
      <c r="AH15" s="167"/>
    </row>
    <row r="16" spans="1:34" x14ac:dyDescent="0.25">
      <c r="B16" s="16" t="s">
        <v>332</v>
      </c>
      <c r="AH16" s="167"/>
    </row>
    <row r="17" spans="1:34" x14ac:dyDescent="0.25">
      <c r="A17" s="164" t="s">
        <v>333</v>
      </c>
      <c r="B17" t="s">
        <v>334</v>
      </c>
      <c r="C17" s="168">
        <v>11.588462</v>
      </c>
      <c r="D17" s="168">
        <v>12.163667999999999</v>
      </c>
      <c r="E17" s="168">
        <v>13.578014</v>
      </c>
      <c r="F17" s="168">
        <v>14.614293999999999</v>
      </c>
      <c r="G17" s="168">
        <v>15.34882</v>
      </c>
      <c r="H17" s="168">
        <v>15.584541</v>
      </c>
      <c r="I17" s="168">
        <v>16.076889000000001</v>
      </c>
      <c r="J17" s="168">
        <v>16.031672</v>
      </c>
      <c r="K17" s="168">
        <v>16.015143999999999</v>
      </c>
      <c r="L17" s="168">
        <v>16.100262000000001</v>
      </c>
      <c r="M17" s="168">
        <v>15.952045999999999</v>
      </c>
      <c r="N17" s="168">
        <v>15.753508</v>
      </c>
      <c r="O17" s="168">
        <v>15.417075000000001</v>
      </c>
      <c r="P17" s="168">
        <v>15.092827</v>
      </c>
      <c r="Q17" s="168">
        <v>14.740774</v>
      </c>
      <c r="R17" s="168">
        <v>14.503793999999999</v>
      </c>
      <c r="S17" s="168">
        <v>14.109021</v>
      </c>
      <c r="T17" s="168">
        <v>13.913102</v>
      </c>
      <c r="U17" s="168">
        <v>13.714886</v>
      </c>
      <c r="V17" s="168">
        <v>13.537189</v>
      </c>
      <c r="W17" s="168">
        <v>13.468024</v>
      </c>
      <c r="X17" s="168">
        <v>13.519399</v>
      </c>
      <c r="Y17" s="168">
        <v>13.510567</v>
      </c>
      <c r="Z17" s="168">
        <v>13.564857</v>
      </c>
      <c r="AA17" s="168">
        <v>13.520057</v>
      </c>
      <c r="AB17" s="168">
        <v>13.401721</v>
      </c>
      <c r="AC17" s="168">
        <v>13.073689</v>
      </c>
      <c r="AD17" s="168">
        <v>12.883516999999999</v>
      </c>
      <c r="AE17" s="168">
        <v>12.944171000000001</v>
      </c>
      <c r="AF17" s="168">
        <v>13.107670000000001</v>
      </c>
      <c r="AG17" s="168">
        <v>13.124084</v>
      </c>
      <c r="AH17" s="169">
        <v>2.624E-3</v>
      </c>
    </row>
    <row r="18" spans="1:34" x14ac:dyDescent="0.25">
      <c r="A18" s="164" t="s">
        <v>335</v>
      </c>
      <c r="B18" t="s">
        <v>336</v>
      </c>
      <c r="C18" s="168">
        <v>2.7812220000000001</v>
      </c>
      <c r="D18" s="168">
        <v>2.8843329999999998</v>
      </c>
      <c r="E18" s="168">
        <v>3.0795780000000001</v>
      </c>
      <c r="F18" s="168">
        <v>3.1164589999999999</v>
      </c>
      <c r="G18" s="168">
        <v>3.6574450000000001</v>
      </c>
      <c r="H18" s="168">
        <v>3.738645</v>
      </c>
      <c r="I18" s="168">
        <v>3.8449409999999999</v>
      </c>
      <c r="J18" s="168">
        <v>3.9866039999999998</v>
      </c>
      <c r="K18" s="168">
        <v>4.0340920000000002</v>
      </c>
      <c r="L18" s="168">
        <v>4.1123599999999998</v>
      </c>
      <c r="M18" s="168">
        <v>4.1443110000000001</v>
      </c>
      <c r="N18" s="168">
        <v>4.1569849999999997</v>
      </c>
      <c r="O18" s="168">
        <v>4.1741830000000002</v>
      </c>
      <c r="P18" s="168">
        <v>4.2082350000000002</v>
      </c>
      <c r="Q18" s="168">
        <v>4.2195609999999997</v>
      </c>
      <c r="R18" s="168">
        <v>4.1964129999999997</v>
      </c>
      <c r="S18" s="168">
        <v>4.0784969999999996</v>
      </c>
      <c r="T18" s="168">
        <v>4.0087440000000001</v>
      </c>
      <c r="U18" s="168">
        <v>3.9399419999999998</v>
      </c>
      <c r="V18" s="168">
        <v>3.8852190000000002</v>
      </c>
      <c r="W18" s="168">
        <v>3.8466369999999999</v>
      </c>
      <c r="X18" s="168">
        <v>3.8317559999999999</v>
      </c>
      <c r="Y18" s="168">
        <v>3.8394629999999998</v>
      </c>
      <c r="Z18" s="168">
        <v>3.8500079999999999</v>
      </c>
      <c r="AA18" s="168">
        <v>3.8560690000000002</v>
      </c>
      <c r="AB18" s="168">
        <v>3.870911</v>
      </c>
      <c r="AC18" s="168">
        <v>3.8854959999999998</v>
      </c>
      <c r="AD18" s="168">
        <v>3.887146</v>
      </c>
      <c r="AE18" s="168">
        <v>3.877113</v>
      </c>
      <c r="AF18" s="168">
        <v>3.9130720000000001</v>
      </c>
      <c r="AG18" s="168">
        <v>3.8897889999999999</v>
      </c>
      <c r="AH18" s="169">
        <v>1.0366E-2</v>
      </c>
    </row>
    <row r="19" spans="1:34" x14ac:dyDescent="0.25">
      <c r="A19" s="164" t="s">
        <v>337</v>
      </c>
      <c r="B19" t="s">
        <v>338</v>
      </c>
      <c r="C19" s="168">
        <v>21.823065</v>
      </c>
      <c r="D19" s="168">
        <v>23.506001000000001</v>
      </c>
      <c r="E19" s="168">
        <v>24.440059999999999</v>
      </c>
      <c r="F19" s="168">
        <v>24.529191999999998</v>
      </c>
      <c r="G19" s="168">
        <v>24.37546</v>
      </c>
      <c r="H19" s="168">
        <v>24.563229</v>
      </c>
      <c r="I19" s="168">
        <v>25.686874</v>
      </c>
      <c r="J19" s="168">
        <v>25.961936999999999</v>
      </c>
      <c r="K19" s="168">
        <v>26.488755999999999</v>
      </c>
      <c r="L19" s="168">
        <v>26.886126000000001</v>
      </c>
      <c r="M19" s="168">
        <v>27.194689</v>
      </c>
      <c r="N19" s="168">
        <v>27.536664999999999</v>
      </c>
      <c r="O19" s="168">
        <v>27.994965000000001</v>
      </c>
      <c r="P19" s="168">
        <v>28.356009</v>
      </c>
      <c r="Q19" s="168">
        <v>28.779299000000002</v>
      </c>
      <c r="R19" s="168">
        <v>29.217341999999999</v>
      </c>
      <c r="S19" s="168">
        <v>29.583528999999999</v>
      </c>
      <c r="T19" s="168">
        <v>29.988900999999998</v>
      </c>
      <c r="U19" s="168">
        <v>30.116849999999999</v>
      </c>
      <c r="V19" s="168">
        <v>30.242531</v>
      </c>
      <c r="W19" s="168">
        <v>30.44463</v>
      </c>
      <c r="X19" s="168">
        <v>30.735282999999999</v>
      </c>
      <c r="Y19" s="168">
        <v>31.067436000000001</v>
      </c>
      <c r="Z19" s="168">
        <v>31.370705000000001</v>
      </c>
      <c r="AA19" s="168">
        <v>31.674745999999999</v>
      </c>
      <c r="AB19" s="168">
        <v>32.037326999999998</v>
      </c>
      <c r="AC19" s="168">
        <v>32.367752000000003</v>
      </c>
      <c r="AD19" s="168">
        <v>32.696120999999998</v>
      </c>
      <c r="AE19" s="168">
        <v>33.103664000000002</v>
      </c>
      <c r="AF19" s="168">
        <v>33.532477999999998</v>
      </c>
      <c r="AG19" s="168">
        <v>33.870289</v>
      </c>
      <c r="AH19" s="169">
        <v>1.2676E-2</v>
      </c>
    </row>
    <row r="20" spans="1:34" x14ac:dyDescent="0.25">
      <c r="A20" s="164" t="s">
        <v>339</v>
      </c>
      <c r="B20" t="s">
        <v>340</v>
      </c>
      <c r="C20" s="168">
        <v>22.0383</v>
      </c>
      <c r="D20" s="168">
        <v>22.207401000000001</v>
      </c>
      <c r="E20" s="168">
        <v>20.949459000000001</v>
      </c>
      <c r="F20" s="168">
        <v>20.827862</v>
      </c>
      <c r="G20" s="168">
        <v>20.952171</v>
      </c>
      <c r="H20" s="168">
        <v>21.118566999999999</v>
      </c>
      <c r="I20" s="168">
        <v>20.168564</v>
      </c>
      <c r="J20" s="168">
        <v>20.676722999999999</v>
      </c>
      <c r="K20" s="168">
        <v>21.054247</v>
      </c>
      <c r="L20" s="168">
        <v>21.473806</v>
      </c>
      <c r="M20" s="168">
        <v>21.74485</v>
      </c>
      <c r="N20" s="168">
        <v>21.848479999999999</v>
      </c>
      <c r="O20" s="168">
        <v>22.166602999999999</v>
      </c>
      <c r="P20" s="168">
        <v>22.462294</v>
      </c>
      <c r="Q20" s="168">
        <v>22.477573</v>
      </c>
      <c r="R20" s="168">
        <v>22.540217999999999</v>
      </c>
      <c r="S20" s="168">
        <v>22.733246000000001</v>
      </c>
      <c r="T20" s="168">
        <v>22.777773</v>
      </c>
      <c r="U20" s="168">
        <v>22.827000000000002</v>
      </c>
      <c r="V20" s="168">
        <v>22.965996000000001</v>
      </c>
      <c r="W20" s="168">
        <v>23.252703</v>
      </c>
      <c r="X20" s="168">
        <v>23.250834000000001</v>
      </c>
      <c r="Y20" s="168">
        <v>23.223188</v>
      </c>
      <c r="Z20" s="168">
        <v>23.220493000000001</v>
      </c>
      <c r="AA20" s="168">
        <v>23.423072999999999</v>
      </c>
      <c r="AB20" s="168">
        <v>23.599948999999999</v>
      </c>
      <c r="AC20" s="168">
        <v>23.391966</v>
      </c>
      <c r="AD20" s="168">
        <v>23.624282999999998</v>
      </c>
      <c r="AE20" s="168">
        <v>23.634046999999999</v>
      </c>
      <c r="AF20" s="168">
        <v>23.510287999999999</v>
      </c>
      <c r="AG20" s="168">
        <v>23.536926000000001</v>
      </c>
      <c r="AH20" s="169">
        <v>2.0070000000000001E-3</v>
      </c>
    </row>
    <row r="21" spans="1:34" x14ac:dyDescent="0.25">
      <c r="A21" s="164" t="s">
        <v>341</v>
      </c>
      <c r="B21" t="s">
        <v>342</v>
      </c>
      <c r="C21" s="168">
        <v>8.4344409999999996</v>
      </c>
      <c r="D21" s="168">
        <v>8.2594309999999993</v>
      </c>
      <c r="E21" s="168">
        <v>8.0480110000000007</v>
      </c>
      <c r="F21" s="168">
        <v>8.1022010000000009</v>
      </c>
      <c r="G21" s="168">
        <v>8.2435890000000001</v>
      </c>
      <c r="H21" s="168">
        <v>8.5702929999999995</v>
      </c>
      <c r="I21" s="168">
        <v>8.7789029999999997</v>
      </c>
      <c r="J21" s="168">
        <v>8.9812349999999999</v>
      </c>
      <c r="K21" s="168">
        <v>9.1544699999999999</v>
      </c>
      <c r="L21" s="168">
        <v>9.2509510000000006</v>
      </c>
      <c r="M21" s="168">
        <v>9.2479469999999999</v>
      </c>
      <c r="N21" s="168">
        <v>9.2891089999999998</v>
      </c>
      <c r="O21" s="168">
        <v>9.3508469999999999</v>
      </c>
      <c r="P21" s="168">
        <v>9.4125870000000003</v>
      </c>
      <c r="Q21" s="168">
        <v>9.4743209999999998</v>
      </c>
      <c r="R21" s="168">
        <v>9.5360700000000005</v>
      </c>
      <c r="S21" s="168">
        <v>9.5360639999999997</v>
      </c>
      <c r="T21" s="168">
        <v>9.5360600000000009</v>
      </c>
      <c r="U21" s="168">
        <v>9.5360600000000009</v>
      </c>
      <c r="V21" s="168">
        <v>9.5360600000000009</v>
      </c>
      <c r="W21" s="168">
        <v>9.4949030000000008</v>
      </c>
      <c r="X21" s="168">
        <v>9.4125859999999992</v>
      </c>
      <c r="Y21" s="168">
        <v>9.3407350000000005</v>
      </c>
      <c r="Z21" s="168">
        <v>9.2714009999999991</v>
      </c>
      <c r="AA21" s="168">
        <v>9.2052250000000004</v>
      </c>
      <c r="AB21" s="168">
        <v>9.1440920000000006</v>
      </c>
      <c r="AC21" s="168">
        <v>9.0754520000000003</v>
      </c>
      <c r="AD21" s="168">
        <v>9.1112029999999997</v>
      </c>
      <c r="AE21" s="168">
        <v>9.1599559999999993</v>
      </c>
      <c r="AF21" s="168">
        <v>9.2756720000000001</v>
      </c>
      <c r="AG21" s="168">
        <v>9.4367359999999998</v>
      </c>
      <c r="AH21" s="169">
        <v>4.6059999999999999E-3</v>
      </c>
    </row>
    <row r="22" spans="1:34" x14ac:dyDescent="0.25">
      <c r="A22" s="164" t="s">
        <v>343</v>
      </c>
      <c r="B22" t="s">
        <v>344</v>
      </c>
      <c r="C22" s="168">
        <v>2.537757</v>
      </c>
      <c r="D22" s="168">
        <v>3.1700339999999998</v>
      </c>
      <c r="E22" s="168">
        <v>2.743833</v>
      </c>
      <c r="F22" s="168">
        <v>2.6490490000000002</v>
      </c>
      <c r="G22" s="168">
        <v>2.704618</v>
      </c>
      <c r="H22" s="168">
        <v>2.755633</v>
      </c>
      <c r="I22" s="168">
        <v>2.832427</v>
      </c>
      <c r="J22" s="168">
        <v>2.8275869999999999</v>
      </c>
      <c r="K22" s="168">
        <v>2.8303219999999998</v>
      </c>
      <c r="L22" s="168">
        <v>2.8311600000000001</v>
      </c>
      <c r="M22" s="168">
        <v>2.832506</v>
      </c>
      <c r="N22" s="168">
        <v>2.8354940000000002</v>
      </c>
      <c r="O22" s="168">
        <v>2.8425669999999998</v>
      </c>
      <c r="P22" s="168">
        <v>2.8427500000000001</v>
      </c>
      <c r="Q22" s="168">
        <v>2.848401</v>
      </c>
      <c r="R22" s="168">
        <v>2.8601580000000002</v>
      </c>
      <c r="S22" s="168">
        <v>2.860455</v>
      </c>
      <c r="T22" s="168">
        <v>2.860446</v>
      </c>
      <c r="U22" s="168">
        <v>2.860627</v>
      </c>
      <c r="V22" s="168">
        <v>2.8616290000000002</v>
      </c>
      <c r="W22" s="168">
        <v>2.8700359999999998</v>
      </c>
      <c r="X22" s="168">
        <v>2.8825400000000001</v>
      </c>
      <c r="Y22" s="168">
        <v>2.8826679999999998</v>
      </c>
      <c r="Z22" s="168">
        <v>2.894495</v>
      </c>
      <c r="AA22" s="168">
        <v>2.8971209999999998</v>
      </c>
      <c r="AB22" s="168">
        <v>2.8972910000000001</v>
      </c>
      <c r="AC22" s="168">
        <v>2.8974549999999999</v>
      </c>
      <c r="AD22" s="168">
        <v>2.8990680000000002</v>
      </c>
      <c r="AE22" s="168">
        <v>2.9040729999999999</v>
      </c>
      <c r="AF22" s="168">
        <v>2.9081860000000002</v>
      </c>
      <c r="AG22" s="168">
        <v>2.9177740000000001</v>
      </c>
      <c r="AH22" s="169">
        <v>-2.8549999999999999E-3</v>
      </c>
    </row>
    <row r="23" spans="1:34" x14ac:dyDescent="0.25">
      <c r="A23" s="164" t="s">
        <v>345</v>
      </c>
      <c r="B23" t="s">
        <v>346</v>
      </c>
      <c r="C23" s="168">
        <v>4.045191</v>
      </c>
      <c r="D23" s="168">
        <v>4.0480989999999997</v>
      </c>
      <c r="E23" s="168">
        <v>3.9672930000000002</v>
      </c>
      <c r="F23" s="168">
        <v>4.0945530000000003</v>
      </c>
      <c r="G23" s="168">
        <v>4.1388559999999996</v>
      </c>
      <c r="H23" s="168">
        <v>4.2489720000000002</v>
      </c>
      <c r="I23" s="168">
        <v>4.398587</v>
      </c>
      <c r="J23" s="168">
        <v>4.5478639999999997</v>
      </c>
      <c r="K23" s="168">
        <v>4.6668209999999997</v>
      </c>
      <c r="L23" s="168">
        <v>4.8335030000000003</v>
      </c>
      <c r="M23" s="168">
        <v>4.9971649999999999</v>
      </c>
      <c r="N23" s="168">
        <v>5.109737</v>
      </c>
      <c r="O23" s="168">
        <v>5.1387619999999998</v>
      </c>
      <c r="P23" s="168">
        <v>5.1609160000000003</v>
      </c>
      <c r="Q23" s="168">
        <v>5.2086819999999996</v>
      </c>
      <c r="R23" s="168">
        <v>5.2721419999999997</v>
      </c>
      <c r="S23" s="168">
        <v>5.2838880000000001</v>
      </c>
      <c r="T23" s="168">
        <v>5.3000619999999996</v>
      </c>
      <c r="U23" s="168">
        <v>5.354641</v>
      </c>
      <c r="V23" s="168">
        <v>5.3870529999999999</v>
      </c>
      <c r="W23" s="168">
        <v>5.4186740000000002</v>
      </c>
      <c r="X23" s="168">
        <v>5.462459</v>
      </c>
      <c r="Y23" s="168">
        <v>5.5245309999999996</v>
      </c>
      <c r="Z23" s="168">
        <v>5.5990320000000002</v>
      </c>
      <c r="AA23" s="168">
        <v>5.7074629999999997</v>
      </c>
      <c r="AB23" s="168">
        <v>5.8298649999999999</v>
      </c>
      <c r="AC23" s="168">
        <v>5.998964</v>
      </c>
      <c r="AD23" s="168">
        <v>6.1890650000000003</v>
      </c>
      <c r="AE23" s="168">
        <v>6.4065989999999999</v>
      </c>
      <c r="AF23" s="168">
        <v>6.671532</v>
      </c>
      <c r="AG23" s="168">
        <v>6.9610219999999998</v>
      </c>
      <c r="AH23" s="169">
        <v>1.8867999999999999E-2</v>
      </c>
    </row>
    <row r="24" spans="1:34" x14ac:dyDescent="0.25">
      <c r="A24" s="164" t="s">
        <v>347</v>
      </c>
      <c r="B24" t="s">
        <v>348</v>
      </c>
      <c r="C24" s="168">
        <v>1.3069649999999999</v>
      </c>
      <c r="D24" s="168">
        <v>1.580276</v>
      </c>
      <c r="E24" s="168">
        <v>1.7707250000000001</v>
      </c>
      <c r="F24" s="168">
        <v>2.0530910000000002</v>
      </c>
      <c r="G24" s="168">
        <v>2.0914990000000002</v>
      </c>
      <c r="H24" s="168">
        <v>2.1154030000000001</v>
      </c>
      <c r="I24" s="168">
        <v>2.1213570000000002</v>
      </c>
      <c r="J24" s="168">
        <v>2.1470090000000002</v>
      </c>
      <c r="K24" s="168">
        <v>2.167767</v>
      </c>
      <c r="L24" s="168">
        <v>2.1915930000000001</v>
      </c>
      <c r="M24" s="168">
        <v>2.217241</v>
      </c>
      <c r="N24" s="168">
        <v>2.2487979999999999</v>
      </c>
      <c r="O24" s="168">
        <v>2.264453</v>
      </c>
      <c r="P24" s="168">
        <v>2.2779259999999999</v>
      </c>
      <c r="Q24" s="168">
        <v>2.2934269999999999</v>
      </c>
      <c r="R24" s="168">
        <v>2.3159429999999999</v>
      </c>
      <c r="S24" s="168">
        <v>2.3503799999999999</v>
      </c>
      <c r="T24" s="168">
        <v>2.3912960000000001</v>
      </c>
      <c r="U24" s="168">
        <v>2.4297900000000001</v>
      </c>
      <c r="V24" s="168">
        <v>2.4659759999999999</v>
      </c>
      <c r="W24" s="168">
        <v>2.4995560000000001</v>
      </c>
      <c r="X24" s="168">
        <v>2.529757</v>
      </c>
      <c r="Y24" s="168">
        <v>2.5883600000000002</v>
      </c>
      <c r="Z24" s="168">
        <v>2.6771850000000001</v>
      </c>
      <c r="AA24" s="168">
        <v>2.7877640000000001</v>
      </c>
      <c r="AB24" s="168">
        <v>2.9103780000000001</v>
      </c>
      <c r="AC24" s="168">
        <v>3.053077</v>
      </c>
      <c r="AD24" s="168">
        <v>3.2131880000000002</v>
      </c>
      <c r="AE24" s="168">
        <v>3.3932060000000002</v>
      </c>
      <c r="AF24" s="168">
        <v>3.6031589999999998</v>
      </c>
      <c r="AG24" s="168">
        <v>3.836595</v>
      </c>
      <c r="AH24" s="169">
        <v>3.1057999999999999E-2</v>
      </c>
    </row>
    <row r="25" spans="1:34" x14ac:dyDescent="0.25">
      <c r="A25" s="164" t="s">
        <v>349</v>
      </c>
      <c r="B25" t="s">
        <v>350</v>
      </c>
      <c r="C25" s="168">
        <v>0.75839000000000001</v>
      </c>
      <c r="D25" s="168">
        <v>1.2036169999999999</v>
      </c>
      <c r="E25" s="168">
        <v>0.90014400000000006</v>
      </c>
      <c r="F25" s="168">
        <v>0.85848000000000002</v>
      </c>
      <c r="G25" s="168">
        <v>0.74249200000000004</v>
      </c>
      <c r="H25" s="168">
        <v>0.76166900000000004</v>
      </c>
      <c r="I25" s="168">
        <v>0.79239599999999999</v>
      </c>
      <c r="J25" s="168">
        <v>0.82144600000000001</v>
      </c>
      <c r="K25" s="168">
        <v>0.82668299999999995</v>
      </c>
      <c r="L25" s="168">
        <v>0.82708099999999996</v>
      </c>
      <c r="M25" s="168">
        <v>0.82861799999999997</v>
      </c>
      <c r="N25" s="168">
        <v>0.83225800000000005</v>
      </c>
      <c r="O25" s="168">
        <v>0.841395</v>
      </c>
      <c r="P25" s="168">
        <v>0.84514</v>
      </c>
      <c r="Q25" s="168">
        <v>0.84984499999999996</v>
      </c>
      <c r="R25" s="168">
        <v>0.852024</v>
      </c>
      <c r="S25" s="168">
        <v>0.86273299999999997</v>
      </c>
      <c r="T25" s="168">
        <v>0.86734800000000001</v>
      </c>
      <c r="U25" s="168">
        <v>0.86932299999999996</v>
      </c>
      <c r="V25" s="168">
        <v>0.87493100000000001</v>
      </c>
      <c r="W25" s="168">
        <v>0.88102899999999995</v>
      </c>
      <c r="X25" s="168">
        <v>0.88607000000000002</v>
      </c>
      <c r="Y25" s="168">
        <v>0.88723399999999997</v>
      </c>
      <c r="Z25" s="168">
        <v>0.88882300000000003</v>
      </c>
      <c r="AA25" s="168">
        <v>0.89203100000000002</v>
      </c>
      <c r="AB25" s="168">
        <v>0.89512199999999997</v>
      </c>
      <c r="AC25" s="168">
        <v>0.89498999999999995</v>
      </c>
      <c r="AD25" s="168">
        <v>0.89392300000000002</v>
      </c>
      <c r="AE25" s="168">
        <v>0.892841</v>
      </c>
      <c r="AF25" s="168">
        <v>0.89165300000000003</v>
      </c>
      <c r="AG25" s="168">
        <v>0.891733</v>
      </c>
      <c r="AH25" s="169">
        <v>-1.0289E-2</v>
      </c>
    </row>
    <row r="26" spans="1:34" x14ac:dyDescent="0.25">
      <c r="A26" s="164" t="s">
        <v>351</v>
      </c>
      <c r="B26" s="16" t="s">
        <v>352</v>
      </c>
      <c r="C26" s="170">
        <v>75.313796999999994</v>
      </c>
      <c r="D26" s="170">
        <v>79.022857999999999</v>
      </c>
      <c r="E26" s="170">
        <v>79.477119000000002</v>
      </c>
      <c r="F26" s="170">
        <v>80.845184000000003</v>
      </c>
      <c r="G26" s="170">
        <v>82.254951000000005</v>
      </c>
      <c r="H26" s="170">
        <v>83.456947</v>
      </c>
      <c r="I26" s="170">
        <v>84.700942999999995</v>
      </c>
      <c r="J26" s="170">
        <v>85.982078999999999</v>
      </c>
      <c r="K26" s="170">
        <v>87.238311999999993</v>
      </c>
      <c r="L26" s="170">
        <v>88.506844000000001</v>
      </c>
      <c r="M26" s="170">
        <v>89.159378000000004</v>
      </c>
      <c r="N26" s="170">
        <v>89.611030999999997</v>
      </c>
      <c r="O26" s="170">
        <v>90.190842000000004</v>
      </c>
      <c r="P26" s="170">
        <v>90.658676</v>
      </c>
      <c r="Q26" s="170">
        <v>90.891884000000005</v>
      </c>
      <c r="R26" s="170">
        <v>91.294105999999999</v>
      </c>
      <c r="S26" s="170">
        <v>91.397812000000002</v>
      </c>
      <c r="T26" s="170">
        <v>91.643730000000005</v>
      </c>
      <c r="U26" s="170">
        <v>91.649117000000004</v>
      </c>
      <c r="V26" s="170">
        <v>91.756576999999993</v>
      </c>
      <c r="W26" s="170">
        <v>92.176192999999998</v>
      </c>
      <c r="X26" s="170">
        <v>92.510688999999999</v>
      </c>
      <c r="Y26" s="170">
        <v>92.864197000000004</v>
      </c>
      <c r="Z26" s="170">
        <v>93.336997999999994</v>
      </c>
      <c r="AA26" s="170">
        <v>93.963547000000005</v>
      </c>
      <c r="AB26" s="170">
        <v>94.586654999999993</v>
      </c>
      <c r="AC26" s="170">
        <v>94.638840000000002</v>
      </c>
      <c r="AD26" s="170">
        <v>95.397514000000001</v>
      </c>
      <c r="AE26" s="170">
        <v>96.315674000000001</v>
      </c>
      <c r="AF26" s="170">
        <v>97.413712000000004</v>
      </c>
      <c r="AG26" s="170">
        <v>98.464950999999999</v>
      </c>
      <c r="AH26" s="171">
        <v>7.6140000000000001E-3</v>
      </c>
    </row>
    <row r="27" spans="1:34" x14ac:dyDescent="0.25">
      <c r="AH27" s="167"/>
    </row>
    <row r="28" spans="1:34" x14ac:dyDescent="0.25">
      <c r="B28" s="16" t="s">
        <v>353</v>
      </c>
      <c r="AH28" s="167"/>
    </row>
    <row r="29" spans="1:34" x14ac:dyDescent="0.25">
      <c r="A29" s="164" t="s">
        <v>354</v>
      </c>
      <c r="B29" t="s">
        <v>355</v>
      </c>
      <c r="C29" s="168">
        <v>20.139481</v>
      </c>
      <c r="D29" s="168">
        <v>19.459897999999999</v>
      </c>
      <c r="E29" s="168">
        <v>18.699635000000001</v>
      </c>
      <c r="F29" s="168">
        <v>17.697614999999999</v>
      </c>
      <c r="G29" s="168">
        <v>16.063683000000001</v>
      </c>
      <c r="H29" s="168">
        <v>16.083549000000001</v>
      </c>
      <c r="I29" s="168">
        <v>15.533016999999999</v>
      </c>
      <c r="J29" s="168">
        <v>15.53683</v>
      </c>
      <c r="K29" s="168">
        <v>15.317224</v>
      </c>
      <c r="L29" s="168">
        <v>15.065645</v>
      </c>
      <c r="M29" s="168">
        <v>15.019485</v>
      </c>
      <c r="N29" s="168">
        <v>14.970128000000001</v>
      </c>
      <c r="O29" s="168">
        <v>15.164213999999999</v>
      </c>
      <c r="P29" s="168">
        <v>15.254231000000001</v>
      </c>
      <c r="Q29" s="168">
        <v>15.432661</v>
      </c>
      <c r="R29" s="168">
        <v>15.569392000000001</v>
      </c>
      <c r="S29" s="168">
        <v>15.942484</v>
      </c>
      <c r="T29" s="168">
        <v>16.019456999999999</v>
      </c>
      <c r="U29" s="168">
        <v>16.127549999999999</v>
      </c>
      <c r="V29" s="168">
        <v>16.25704</v>
      </c>
      <c r="W29" s="168">
        <v>16.326609000000001</v>
      </c>
      <c r="X29" s="168">
        <v>16.279449</v>
      </c>
      <c r="Y29" s="168">
        <v>16.231498999999999</v>
      </c>
      <c r="Z29" s="168">
        <v>16.176110999999999</v>
      </c>
      <c r="AA29" s="168">
        <v>16.253710000000002</v>
      </c>
      <c r="AB29" s="168">
        <v>16.425051</v>
      </c>
      <c r="AC29" s="168">
        <v>16.759844000000001</v>
      </c>
      <c r="AD29" s="168">
        <v>16.961077</v>
      </c>
      <c r="AE29" s="168">
        <v>16.909821999999998</v>
      </c>
      <c r="AF29" s="168">
        <v>16.784756000000002</v>
      </c>
      <c r="AG29" s="168">
        <v>16.886309000000001</v>
      </c>
      <c r="AH29" s="169">
        <v>-4.8799999999999998E-3</v>
      </c>
    </row>
    <row r="30" spans="1:34" x14ac:dyDescent="0.25">
      <c r="A30" s="164" t="s">
        <v>356</v>
      </c>
      <c r="B30" t="s">
        <v>357</v>
      </c>
      <c r="C30" s="168">
        <v>5.258273</v>
      </c>
      <c r="D30" s="168">
        <v>5.2351999999999999</v>
      </c>
      <c r="E30" s="168">
        <v>4.1303780000000003</v>
      </c>
      <c r="F30" s="168">
        <v>4.3519249999999996</v>
      </c>
      <c r="G30" s="168">
        <v>5.5377450000000001</v>
      </c>
      <c r="H30" s="168">
        <v>5.6257720000000004</v>
      </c>
      <c r="I30" s="168">
        <v>5.6818720000000003</v>
      </c>
      <c r="J30" s="168">
        <v>5.5527920000000002</v>
      </c>
      <c r="K30" s="168">
        <v>5.5215439999999996</v>
      </c>
      <c r="L30" s="168">
        <v>5.5344680000000004</v>
      </c>
      <c r="M30" s="168">
        <v>5.5545330000000002</v>
      </c>
      <c r="N30" s="168">
        <v>5.5647019999999996</v>
      </c>
      <c r="O30" s="168">
        <v>5.5563419999999999</v>
      </c>
      <c r="P30" s="168">
        <v>5.505331</v>
      </c>
      <c r="Q30" s="168">
        <v>5.4851150000000004</v>
      </c>
      <c r="R30" s="168">
        <v>5.4688650000000001</v>
      </c>
      <c r="S30" s="168">
        <v>5.4320700000000004</v>
      </c>
      <c r="T30" s="168">
        <v>5.408461</v>
      </c>
      <c r="U30" s="168">
        <v>5.3920469999999998</v>
      </c>
      <c r="V30" s="168">
        <v>5.3495970000000002</v>
      </c>
      <c r="W30" s="168">
        <v>5.3287800000000001</v>
      </c>
      <c r="X30" s="168">
        <v>5.3091239999999997</v>
      </c>
      <c r="Y30" s="168">
        <v>5.2823560000000001</v>
      </c>
      <c r="Z30" s="168">
        <v>5.2309210000000004</v>
      </c>
      <c r="AA30" s="168">
        <v>5.1972639999999997</v>
      </c>
      <c r="AB30" s="168">
        <v>5.1259600000000001</v>
      </c>
      <c r="AC30" s="168">
        <v>5.0949939999999998</v>
      </c>
      <c r="AD30" s="168">
        <v>5.1017089999999996</v>
      </c>
      <c r="AE30" s="168">
        <v>5.0759999999999996</v>
      </c>
      <c r="AF30" s="168">
        <v>4.9735019999999999</v>
      </c>
      <c r="AG30" s="168">
        <v>4.818562</v>
      </c>
      <c r="AH30" s="169">
        <v>-2.856E-3</v>
      </c>
    </row>
    <row r="31" spans="1:34" x14ac:dyDescent="0.25">
      <c r="A31" s="164" t="s">
        <v>358</v>
      </c>
      <c r="B31" t="s">
        <v>359</v>
      </c>
      <c r="C31" s="168">
        <v>3.8342740000000002</v>
      </c>
      <c r="D31" s="168">
        <v>3.5423429999999998</v>
      </c>
      <c r="E31" s="168">
        <v>3.319661</v>
      </c>
      <c r="F31" s="168">
        <v>3.3384010000000002</v>
      </c>
      <c r="G31" s="168">
        <v>3.298095</v>
      </c>
      <c r="H31" s="168">
        <v>3.3799869999999999</v>
      </c>
      <c r="I31" s="168">
        <v>3.4682940000000002</v>
      </c>
      <c r="J31" s="168">
        <v>3.3287849999999999</v>
      </c>
      <c r="K31" s="168">
        <v>3.0388660000000001</v>
      </c>
      <c r="L31" s="168">
        <v>2.7757160000000001</v>
      </c>
      <c r="M31" s="168">
        <v>2.5750899999999999</v>
      </c>
      <c r="N31" s="168">
        <v>2.3610449999999998</v>
      </c>
      <c r="O31" s="168">
        <v>2.3145980000000002</v>
      </c>
      <c r="P31" s="168">
        <v>2.3193579999999998</v>
      </c>
      <c r="Q31" s="168">
        <v>2.345329</v>
      </c>
      <c r="R31" s="168">
        <v>2.360344</v>
      </c>
      <c r="S31" s="168">
        <v>2.3892229999999999</v>
      </c>
      <c r="T31" s="168">
        <v>2.4317310000000001</v>
      </c>
      <c r="U31" s="168">
        <v>2.5016539999999998</v>
      </c>
      <c r="V31" s="168">
        <v>2.5633010000000001</v>
      </c>
      <c r="W31" s="168">
        <v>2.6282260000000002</v>
      </c>
      <c r="X31" s="168">
        <v>2.6705860000000001</v>
      </c>
      <c r="Y31" s="168">
        <v>2.6482109999999999</v>
      </c>
      <c r="Z31" s="168">
        <v>2.6272410000000002</v>
      </c>
      <c r="AA31" s="168">
        <v>2.5926100000000001</v>
      </c>
      <c r="AB31" s="168">
        <v>2.5349780000000002</v>
      </c>
      <c r="AC31" s="168">
        <v>2.4785900000000001</v>
      </c>
      <c r="AD31" s="168">
        <v>2.3918119999999998</v>
      </c>
      <c r="AE31" s="168">
        <v>2.2806519999999999</v>
      </c>
      <c r="AF31" s="168">
        <v>2.1395770000000001</v>
      </c>
      <c r="AG31" s="168">
        <v>2.0060980000000002</v>
      </c>
      <c r="AH31" s="169">
        <v>-1.9415999999999999E-2</v>
      </c>
    </row>
    <row r="32" spans="1:34" x14ac:dyDescent="0.25">
      <c r="A32" s="164" t="s">
        <v>360</v>
      </c>
      <c r="B32" t="s">
        <v>361</v>
      </c>
      <c r="C32" s="168">
        <v>0.52144999999999997</v>
      </c>
      <c r="D32" s="168">
        <v>0.42726199999999998</v>
      </c>
      <c r="E32" s="168">
        <v>0.41189399999999998</v>
      </c>
      <c r="F32" s="168">
        <v>0.34125299999999997</v>
      </c>
      <c r="G32" s="168">
        <v>0.29747000000000001</v>
      </c>
      <c r="H32" s="168">
        <v>0.21163799999999999</v>
      </c>
      <c r="I32" s="168">
        <v>0.170406</v>
      </c>
      <c r="J32" s="168">
        <v>0.12989600000000001</v>
      </c>
      <c r="K32" s="168">
        <v>0.121422</v>
      </c>
      <c r="L32" s="168">
        <v>0.11192100000000001</v>
      </c>
      <c r="M32" s="168">
        <v>0.108393</v>
      </c>
      <c r="N32" s="168">
        <v>0.12481</v>
      </c>
      <c r="O32" s="168">
        <v>0.115716</v>
      </c>
      <c r="P32" s="168">
        <v>0.103046</v>
      </c>
      <c r="Q32" s="168">
        <v>0.147845</v>
      </c>
      <c r="R32" s="168">
        <v>0.16752700000000001</v>
      </c>
      <c r="S32" s="168">
        <v>0.107062</v>
      </c>
      <c r="T32" s="168">
        <v>0.16240299999999999</v>
      </c>
      <c r="U32" s="168">
        <v>0.19872200000000001</v>
      </c>
      <c r="V32" s="168">
        <v>0.22792499999999999</v>
      </c>
      <c r="W32" s="168">
        <v>0.12822900000000001</v>
      </c>
      <c r="X32" s="168">
        <v>0.22666900000000001</v>
      </c>
      <c r="Y32" s="168">
        <v>0.37889800000000001</v>
      </c>
      <c r="Z32" s="168">
        <v>0.473497</v>
      </c>
      <c r="AA32" s="168">
        <v>0.46779100000000001</v>
      </c>
      <c r="AB32" s="168">
        <v>0.48094100000000001</v>
      </c>
      <c r="AC32" s="168">
        <v>0.79604299999999995</v>
      </c>
      <c r="AD32" s="168">
        <v>0.69845299999999999</v>
      </c>
      <c r="AE32" s="168">
        <v>0.78059199999999995</v>
      </c>
      <c r="AF32" s="168">
        <v>0.80742599999999998</v>
      </c>
      <c r="AG32" s="168">
        <v>0.84103600000000001</v>
      </c>
      <c r="AH32" s="169">
        <v>2.3628E-2</v>
      </c>
    </row>
    <row r="33" spans="1:34" x14ac:dyDescent="0.25">
      <c r="A33" s="164" t="s">
        <v>362</v>
      </c>
      <c r="B33" s="16" t="s">
        <v>352</v>
      </c>
      <c r="C33" s="170">
        <v>29.753478999999999</v>
      </c>
      <c r="D33" s="170">
        <v>28.664702999999999</v>
      </c>
      <c r="E33" s="170">
        <v>26.561567</v>
      </c>
      <c r="F33" s="170">
        <v>25.729192999999999</v>
      </c>
      <c r="G33" s="170">
        <v>25.196991000000001</v>
      </c>
      <c r="H33" s="170">
        <v>25.300947000000001</v>
      </c>
      <c r="I33" s="170">
        <v>24.853590000000001</v>
      </c>
      <c r="J33" s="170">
        <v>24.548304000000002</v>
      </c>
      <c r="K33" s="170">
        <v>23.999056</v>
      </c>
      <c r="L33" s="170">
        <v>23.487750999999999</v>
      </c>
      <c r="M33" s="170">
        <v>23.257501999999999</v>
      </c>
      <c r="N33" s="170">
        <v>23.020686999999999</v>
      </c>
      <c r="O33" s="170">
        <v>23.150870999999999</v>
      </c>
      <c r="P33" s="170">
        <v>23.181968999999999</v>
      </c>
      <c r="Q33" s="170">
        <v>23.41095</v>
      </c>
      <c r="R33" s="170">
        <v>23.566127999999999</v>
      </c>
      <c r="S33" s="170">
        <v>23.870840000000001</v>
      </c>
      <c r="T33" s="170">
        <v>24.022053</v>
      </c>
      <c r="U33" s="170">
        <v>24.219973</v>
      </c>
      <c r="V33" s="170">
        <v>24.397860999999999</v>
      </c>
      <c r="W33" s="170">
        <v>24.411842</v>
      </c>
      <c r="X33" s="170">
        <v>24.485828000000001</v>
      </c>
      <c r="Y33" s="170">
        <v>24.540966000000001</v>
      </c>
      <c r="Z33" s="170">
        <v>24.507771000000002</v>
      </c>
      <c r="AA33" s="170">
        <v>24.511374</v>
      </c>
      <c r="AB33" s="170">
        <v>24.566927</v>
      </c>
      <c r="AC33" s="170">
        <v>25.129470999999999</v>
      </c>
      <c r="AD33" s="170">
        <v>25.153051000000001</v>
      </c>
      <c r="AE33" s="170">
        <v>25.047067999999999</v>
      </c>
      <c r="AF33" s="170">
        <v>24.705261</v>
      </c>
      <c r="AG33" s="170">
        <v>24.552004</v>
      </c>
      <c r="AH33" s="171">
        <v>-5.326E-3</v>
      </c>
    </row>
    <row r="34" spans="1:34" x14ac:dyDescent="0.25">
      <c r="AH34" s="167"/>
    </row>
    <row r="35" spans="1:34" x14ac:dyDescent="0.25">
      <c r="B35" s="16" t="s">
        <v>363</v>
      </c>
      <c r="AH35" s="167"/>
    </row>
    <row r="36" spans="1:34" x14ac:dyDescent="0.25">
      <c r="A36" s="164" t="s">
        <v>364</v>
      </c>
      <c r="B36" t="s">
        <v>365</v>
      </c>
      <c r="C36" s="168">
        <v>4.8649699999999996</v>
      </c>
      <c r="D36" s="168">
        <v>6.0791209999999998</v>
      </c>
      <c r="E36" s="168">
        <v>5.8740750000000004</v>
      </c>
      <c r="F36" s="168">
        <v>5.7697320000000003</v>
      </c>
      <c r="G36" s="168">
        <v>6.1692830000000001</v>
      </c>
      <c r="H36" s="168">
        <v>6.0421480000000001</v>
      </c>
      <c r="I36" s="168">
        <v>5.9254920000000002</v>
      </c>
      <c r="J36" s="168">
        <v>5.7775689999999997</v>
      </c>
      <c r="K36" s="168">
        <v>5.600752</v>
      </c>
      <c r="L36" s="168">
        <v>5.4647680000000003</v>
      </c>
      <c r="M36" s="168">
        <v>5.3691740000000001</v>
      </c>
      <c r="N36" s="168">
        <v>5.2402259999999998</v>
      </c>
      <c r="O36" s="168">
        <v>5.1937990000000003</v>
      </c>
      <c r="P36" s="168">
        <v>5.1335990000000002</v>
      </c>
      <c r="Q36" s="168">
        <v>5.1041169999999996</v>
      </c>
      <c r="R36" s="168">
        <v>5.1446370000000003</v>
      </c>
      <c r="S36" s="168">
        <v>5.1740890000000004</v>
      </c>
      <c r="T36" s="168">
        <v>5.1773749999999996</v>
      </c>
      <c r="U36" s="168">
        <v>5.1889149999999997</v>
      </c>
      <c r="V36" s="168">
        <v>5.2130799999999997</v>
      </c>
      <c r="W36" s="168">
        <v>5.2549869999999999</v>
      </c>
      <c r="X36" s="168">
        <v>5.324878</v>
      </c>
      <c r="Y36" s="168">
        <v>5.3589120000000001</v>
      </c>
      <c r="Z36" s="168">
        <v>5.4268029999999996</v>
      </c>
      <c r="AA36" s="168">
        <v>5.4979019999999998</v>
      </c>
      <c r="AB36" s="168">
        <v>5.5546420000000003</v>
      </c>
      <c r="AC36" s="168">
        <v>5.6004519999999998</v>
      </c>
      <c r="AD36" s="168">
        <v>5.6500079999999997</v>
      </c>
      <c r="AE36" s="168">
        <v>5.663951</v>
      </c>
      <c r="AF36" s="168">
        <v>5.7040800000000003</v>
      </c>
      <c r="AG36" s="168">
        <v>5.7129490000000001</v>
      </c>
      <c r="AH36" s="169">
        <v>-2.14E-3</v>
      </c>
    </row>
    <row r="37" spans="1:34" x14ac:dyDescent="0.25">
      <c r="A37" s="164" t="s">
        <v>366</v>
      </c>
      <c r="B37" t="s">
        <v>367</v>
      </c>
      <c r="C37" s="168">
        <v>1.1469860000000001</v>
      </c>
      <c r="D37" s="168">
        <v>1.5206230000000001</v>
      </c>
      <c r="E37" s="168">
        <v>1.5349410000000001</v>
      </c>
      <c r="F37" s="168">
        <v>1.580165</v>
      </c>
      <c r="G37" s="168">
        <v>1.787042</v>
      </c>
      <c r="H37" s="168">
        <v>1.893138</v>
      </c>
      <c r="I37" s="168">
        <v>2.1518769999999998</v>
      </c>
      <c r="J37" s="168">
        <v>2.4423530000000002</v>
      </c>
      <c r="K37" s="168">
        <v>2.5212539999999999</v>
      </c>
      <c r="L37" s="168">
        <v>2.5953189999999999</v>
      </c>
      <c r="M37" s="168">
        <v>2.6723159999999999</v>
      </c>
      <c r="N37" s="168">
        <v>2.7453289999999999</v>
      </c>
      <c r="O37" s="168">
        <v>3.0341999999999998</v>
      </c>
      <c r="P37" s="168">
        <v>3.3214790000000001</v>
      </c>
      <c r="Q37" s="168">
        <v>3.6104379999999998</v>
      </c>
      <c r="R37" s="168">
        <v>3.9221689999999998</v>
      </c>
      <c r="S37" s="168">
        <v>4.1770779999999998</v>
      </c>
      <c r="T37" s="168">
        <v>4.4496739999999999</v>
      </c>
      <c r="U37" s="168">
        <v>4.5228469999999996</v>
      </c>
      <c r="V37" s="168">
        <v>4.6086080000000003</v>
      </c>
      <c r="W37" s="168">
        <v>4.707395</v>
      </c>
      <c r="X37" s="168">
        <v>4.7641590000000003</v>
      </c>
      <c r="Y37" s="168">
        <v>4.826066</v>
      </c>
      <c r="Z37" s="168">
        <v>4.8954149999999998</v>
      </c>
      <c r="AA37" s="168">
        <v>4.9731810000000003</v>
      </c>
      <c r="AB37" s="168">
        <v>5.065436</v>
      </c>
      <c r="AC37" s="168">
        <v>5.1652930000000001</v>
      </c>
      <c r="AD37" s="168">
        <v>5.2640609999999999</v>
      </c>
      <c r="AE37" s="168">
        <v>5.3618259999999998</v>
      </c>
      <c r="AF37" s="168">
        <v>5.4600790000000003</v>
      </c>
      <c r="AG37" s="168">
        <v>5.5578469999999998</v>
      </c>
      <c r="AH37" s="169">
        <v>4.5706999999999998E-2</v>
      </c>
    </row>
    <row r="38" spans="1:34" x14ac:dyDescent="0.25">
      <c r="A38" s="164" t="s">
        <v>368</v>
      </c>
      <c r="B38" t="s">
        <v>369</v>
      </c>
      <c r="C38" s="168">
        <v>2.1</v>
      </c>
      <c r="D38" s="168">
        <v>2.75</v>
      </c>
      <c r="E38" s="168">
        <v>3.0761910000000001</v>
      </c>
      <c r="F38" s="168">
        <v>2.6307749999999999</v>
      </c>
      <c r="G38" s="168">
        <v>2.7398359999999999</v>
      </c>
      <c r="H38" s="168">
        <v>3.0035959999999999</v>
      </c>
      <c r="I38" s="168">
        <v>3.0071029999999999</v>
      </c>
      <c r="J38" s="168">
        <v>3.0293580000000002</v>
      </c>
      <c r="K38" s="168">
        <v>3.0453039999999998</v>
      </c>
      <c r="L38" s="168">
        <v>3.0682499999999999</v>
      </c>
      <c r="M38" s="168">
        <v>3.1252249999999999</v>
      </c>
      <c r="N38" s="168">
        <v>3.1414819999999999</v>
      </c>
      <c r="O38" s="168">
        <v>3.1588799999999999</v>
      </c>
      <c r="P38" s="168">
        <v>3.1652490000000002</v>
      </c>
      <c r="Q38" s="168">
        <v>3.1456050000000002</v>
      </c>
      <c r="R38" s="168">
        <v>3.184812</v>
      </c>
      <c r="S38" s="168">
        <v>3.209165</v>
      </c>
      <c r="T38" s="168">
        <v>3.2915549999999998</v>
      </c>
      <c r="U38" s="168">
        <v>3.3471250000000001</v>
      </c>
      <c r="V38" s="168">
        <v>3.4149500000000002</v>
      </c>
      <c r="W38" s="168">
        <v>3.5124689999999998</v>
      </c>
      <c r="X38" s="168">
        <v>3.5447829999999998</v>
      </c>
      <c r="Y38" s="168">
        <v>3.6174279999999999</v>
      </c>
      <c r="Z38" s="168">
        <v>3.6512709999999999</v>
      </c>
      <c r="AA38" s="168">
        <v>3.7263649999999999</v>
      </c>
      <c r="AB38" s="168">
        <v>3.803966</v>
      </c>
      <c r="AC38" s="168">
        <v>3.8041879999999999</v>
      </c>
      <c r="AD38" s="168">
        <v>3.8810739999999999</v>
      </c>
      <c r="AE38" s="168">
        <v>3.899311</v>
      </c>
      <c r="AF38" s="168">
        <v>3.7828620000000002</v>
      </c>
      <c r="AG38" s="168">
        <v>3.7914850000000002</v>
      </c>
      <c r="AH38" s="169">
        <v>1.1136E-2</v>
      </c>
    </row>
    <row r="39" spans="1:34" x14ac:dyDescent="0.25">
      <c r="A39" s="164" t="s">
        <v>370</v>
      </c>
      <c r="B39" s="16" t="s">
        <v>352</v>
      </c>
      <c r="C39" s="170">
        <v>8.1119559999999993</v>
      </c>
      <c r="D39" s="170">
        <v>10.349745</v>
      </c>
      <c r="E39" s="170">
        <v>10.485207000000001</v>
      </c>
      <c r="F39" s="170">
        <v>9.9806720000000002</v>
      </c>
      <c r="G39" s="170">
        <v>10.696161</v>
      </c>
      <c r="H39" s="170">
        <v>10.938882</v>
      </c>
      <c r="I39" s="170">
        <v>11.084472999999999</v>
      </c>
      <c r="J39" s="170">
        <v>11.249280000000001</v>
      </c>
      <c r="K39" s="170">
        <v>11.167308999999999</v>
      </c>
      <c r="L39" s="170">
        <v>11.128337999999999</v>
      </c>
      <c r="M39" s="170">
        <v>11.166715999999999</v>
      </c>
      <c r="N39" s="170">
        <v>11.127037</v>
      </c>
      <c r="O39" s="170">
        <v>11.38688</v>
      </c>
      <c r="P39" s="170">
        <v>11.620326</v>
      </c>
      <c r="Q39" s="170">
        <v>11.860161</v>
      </c>
      <c r="R39" s="170">
        <v>12.251618000000001</v>
      </c>
      <c r="S39" s="170">
        <v>12.560332000000001</v>
      </c>
      <c r="T39" s="170">
        <v>12.918604</v>
      </c>
      <c r="U39" s="170">
        <v>13.058887</v>
      </c>
      <c r="V39" s="170">
        <v>13.236637999999999</v>
      </c>
      <c r="W39" s="170">
        <v>13.47485</v>
      </c>
      <c r="X39" s="170">
        <v>13.633820999999999</v>
      </c>
      <c r="Y39" s="170">
        <v>13.802406</v>
      </c>
      <c r="Z39" s="170">
        <v>13.97349</v>
      </c>
      <c r="AA39" s="170">
        <v>14.197448</v>
      </c>
      <c r="AB39" s="170">
        <v>14.424044</v>
      </c>
      <c r="AC39" s="170">
        <v>14.569933000000001</v>
      </c>
      <c r="AD39" s="170">
        <v>14.795142999999999</v>
      </c>
      <c r="AE39" s="170">
        <v>14.925087</v>
      </c>
      <c r="AF39" s="170">
        <v>14.947020999999999</v>
      </c>
      <c r="AG39" s="170">
        <v>15.062281</v>
      </c>
      <c r="AH39" s="171">
        <v>1.3023E-2</v>
      </c>
    </row>
    <row r="40" spans="1:34" x14ac:dyDescent="0.25">
      <c r="AH40" s="167"/>
    </row>
    <row r="41" spans="1:34" x14ac:dyDescent="0.25">
      <c r="A41" s="164" t="s">
        <v>371</v>
      </c>
      <c r="B41" s="16" t="s">
        <v>372</v>
      </c>
      <c r="C41" s="170">
        <v>-1.3952880000000001</v>
      </c>
      <c r="D41" s="170">
        <v>-0.35884700000000003</v>
      </c>
      <c r="E41" s="170">
        <v>-0.51154500000000003</v>
      </c>
      <c r="F41" s="170">
        <v>0.33285599999999999</v>
      </c>
      <c r="G41" s="170">
        <v>0.19486800000000001</v>
      </c>
      <c r="H41" s="170">
        <v>9.4913999999999998E-2</v>
      </c>
      <c r="I41" s="170">
        <v>0.12471599999999999</v>
      </c>
      <c r="J41" s="170">
        <v>0.15385199999999999</v>
      </c>
      <c r="K41" s="170">
        <v>0.16539599999999999</v>
      </c>
      <c r="L41" s="170">
        <v>0.188698</v>
      </c>
      <c r="M41" s="170">
        <v>0.211391</v>
      </c>
      <c r="N41" s="170">
        <v>0.231739</v>
      </c>
      <c r="O41" s="170">
        <v>0.23854700000000001</v>
      </c>
      <c r="P41" s="170">
        <v>0.250249</v>
      </c>
      <c r="Q41" s="170">
        <v>0.26255000000000001</v>
      </c>
      <c r="R41" s="170">
        <v>0.26994600000000002</v>
      </c>
      <c r="S41" s="170">
        <v>0.28075299999999997</v>
      </c>
      <c r="T41" s="170">
        <v>0.28959099999999999</v>
      </c>
      <c r="U41" s="170">
        <v>0.29701899999999998</v>
      </c>
      <c r="V41" s="170">
        <v>0.30026900000000001</v>
      </c>
      <c r="W41" s="170">
        <v>0.30414999999999998</v>
      </c>
      <c r="X41" s="170">
        <v>0.31003900000000001</v>
      </c>
      <c r="Y41" s="170">
        <v>0.31465500000000002</v>
      </c>
      <c r="Z41" s="170">
        <v>0.30568899999999999</v>
      </c>
      <c r="AA41" s="170">
        <v>0.30745600000000001</v>
      </c>
      <c r="AB41" s="170">
        <v>0.31841999999999998</v>
      </c>
      <c r="AC41" s="170">
        <v>0.30932399999999999</v>
      </c>
      <c r="AD41" s="170">
        <v>0.31225399999999998</v>
      </c>
      <c r="AE41" s="170">
        <v>0.32239699999999999</v>
      </c>
      <c r="AF41" s="170">
        <v>0.32047999999999999</v>
      </c>
      <c r="AG41" s="170">
        <v>0.31726100000000002</v>
      </c>
      <c r="AH41" s="171" t="s">
        <v>373</v>
      </c>
    </row>
    <row r="42" spans="1:34" x14ac:dyDescent="0.25">
      <c r="AH42" s="167"/>
    </row>
    <row r="43" spans="1:34" x14ac:dyDescent="0.25">
      <c r="B43" s="16" t="s">
        <v>374</v>
      </c>
      <c r="AH43" s="167"/>
    </row>
    <row r="44" spans="1:34" x14ac:dyDescent="0.25">
      <c r="A44" s="164" t="s">
        <v>375</v>
      </c>
      <c r="B44" t="s">
        <v>376</v>
      </c>
      <c r="C44" s="168">
        <v>37.760078</v>
      </c>
      <c r="D44" s="168">
        <v>37.019568999999997</v>
      </c>
      <c r="E44" s="168">
        <v>36.397129</v>
      </c>
      <c r="F44" s="168">
        <v>36.144191999999997</v>
      </c>
      <c r="G44" s="168">
        <v>36.484222000000003</v>
      </c>
      <c r="H44" s="168">
        <v>37.039993000000003</v>
      </c>
      <c r="I44" s="168">
        <v>37.288094000000001</v>
      </c>
      <c r="J44" s="168">
        <v>37.422156999999999</v>
      </c>
      <c r="K44" s="168">
        <v>37.515895999999998</v>
      </c>
      <c r="L44" s="168">
        <v>37.589638000000001</v>
      </c>
      <c r="M44" s="168">
        <v>37.540931999999998</v>
      </c>
      <c r="N44" s="168">
        <v>37.428173000000001</v>
      </c>
      <c r="O44" s="168">
        <v>37.346600000000002</v>
      </c>
      <c r="P44" s="168">
        <v>37.199309999999997</v>
      </c>
      <c r="Q44" s="168">
        <v>37.052318999999997</v>
      </c>
      <c r="R44" s="168">
        <v>36.873404999999998</v>
      </c>
      <c r="S44" s="168">
        <v>36.679794000000001</v>
      </c>
      <c r="T44" s="168">
        <v>36.481814999999997</v>
      </c>
      <c r="U44" s="168">
        <v>36.315407</v>
      </c>
      <c r="V44" s="168">
        <v>36.168506999999998</v>
      </c>
      <c r="W44" s="168">
        <v>36.078856999999999</v>
      </c>
      <c r="X44" s="168">
        <v>35.998351999999997</v>
      </c>
      <c r="Y44" s="168">
        <v>35.912509999999997</v>
      </c>
      <c r="Z44" s="168">
        <v>35.844444000000003</v>
      </c>
      <c r="AA44" s="168">
        <v>35.827595000000002</v>
      </c>
      <c r="AB44" s="168">
        <v>35.822612999999997</v>
      </c>
      <c r="AC44" s="168">
        <v>35.835616999999999</v>
      </c>
      <c r="AD44" s="168">
        <v>35.871924999999997</v>
      </c>
      <c r="AE44" s="168">
        <v>35.929862999999997</v>
      </c>
      <c r="AF44" s="168">
        <v>35.993065000000001</v>
      </c>
      <c r="AG44" s="168">
        <v>36.068680000000001</v>
      </c>
      <c r="AH44" s="169">
        <v>-8.9700000000000001E-4</v>
      </c>
    </row>
    <row r="45" spans="1:34" x14ac:dyDescent="0.25">
      <c r="A45" s="164" t="s">
        <v>377</v>
      </c>
      <c r="B45" t="s">
        <v>378</v>
      </c>
      <c r="C45" s="168">
        <v>24.317066000000001</v>
      </c>
      <c r="D45" s="168">
        <v>24.910826</v>
      </c>
      <c r="E45" s="168">
        <v>26.195364000000001</v>
      </c>
      <c r="F45" s="168">
        <v>25.868334000000001</v>
      </c>
      <c r="G45" s="168">
        <v>25.559539999999998</v>
      </c>
      <c r="H45" s="168">
        <v>25.858915</v>
      </c>
      <c r="I45" s="168">
        <v>26.809474999999999</v>
      </c>
      <c r="J45" s="168">
        <v>26.653331999999999</v>
      </c>
      <c r="K45" s="168">
        <v>26.685894000000001</v>
      </c>
      <c r="L45" s="168">
        <v>26.741253</v>
      </c>
      <c r="M45" s="168">
        <v>26.766960000000001</v>
      </c>
      <c r="N45" s="168">
        <v>26.816445999999999</v>
      </c>
      <c r="O45" s="168">
        <v>26.930679000000001</v>
      </c>
      <c r="P45" s="168">
        <v>26.999941</v>
      </c>
      <c r="Q45" s="168">
        <v>27.150576000000001</v>
      </c>
      <c r="R45" s="168">
        <v>27.282055</v>
      </c>
      <c r="S45" s="168">
        <v>27.412966000000001</v>
      </c>
      <c r="T45" s="168">
        <v>27.578627000000001</v>
      </c>
      <c r="U45" s="168">
        <v>27.696161</v>
      </c>
      <c r="V45" s="168">
        <v>27.790075000000002</v>
      </c>
      <c r="W45" s="168">
        <v>27.950085000000001</v>
      </c>
      <c r="X45" s="168">
        <v>28.220002999999998</v>
      </c>
      <c r="Y45" s="168">
        <v>28.460992999999998</v>
      </c>
      <c r="Z45" s="168">
        <v>28.666505999999998</v>
      </c>
      <c r="AA45" s="168">
        <v>28.850442999999999</v>
      </c>
      <c r="AB45" s="168">
        <v>29.055315</v>
      </c>
      <c r="AC45" s="168">
        <v>29.220770000000002</v>
      </c>
      <c r="AD45" s="168">
        <v>29.354863999999999</v>
      </c>
      <c r="AE45" s="168">
        <v>29.54364</v>
      </c>
      <c r="AF45" s="168">
        <v>29.72213</v>
      </c>
      <c r="AG45" s="168">
        <v>29.826063000000001</v>
      </c>
      <c r="AH45" s="169">
        <v>6.2290000000000002E-3</v>
      </c>
    </row>
    <row r="46" spans="1:34" x14ac:dyDescent="0.25">
      <c r="A46" s="164" t="s">
        <v>379</v>
      </c>
      <c r="B46" t="s">
        <v>380</v>
      </c>
      <c r="C46" s="168">
        <v>20.807500999999998</v>
      </c>
      <c r="D46" s="168">
        <v>19.661100000000001</v>
      </c>
      <c r="E46" s="168">
        <v>17.824286000000001</v>
      </c>
      <c r="F46" s="168">
        <v>18.308724999999999</v>
      </c>
      <c r="G46" s="168">
        <v>18.346947</v>
      </c>
      <c r="H46" s="168">
        <v>18.181065</v>
      </c>
      <c r="I46" s="168">
        <v>17.174973999999999</v>
      </c>
      <c r="J46" s="168">
        <v>17.632639000000001</v>
      </c>
      <c r="K46" s="168">
        <v>17.986822</v>
      </c>
      <c r="L46" s="168">
        <v>18.378979000000001</v>
      </c>
      <c r="M46" s="168">
        <v>18.592192000000001</v>
      </c>
      <c r="N46" s="168">
        <v>18.675238</v>
      </c>
      <c r="O46" s="168">
        <v>18.979288</v>
      </c>
      <c r="P46" s="168">
        <v>19.209043999999999</v>
      </c>
      <c r="Q46" s="168">
        <v>19.292020999999998</v>
      </c>
      <c r="R46" s="168">
        <v>19.346029000000001</v>
      </c>
      <c r="S46" s="168">
        <v>19.445734000000002</v>
      </c>
      <c r="T46" s="168">
        <v>19.473436</v>
      </c>
      <c r="U46" s="168">
        <v>19.490879</v>
      </c>
      <c r="V46" s="168">
        <v>19.595555999999998</v>
      </c>
      <c r="W46" s="168">
        <v>19.696217000000001</v>
      </c>
      <c r="X46" s="168">
        <v>19.755569000000001</v>
      </c>
      <c r="Y46" s="168">
        <v>19.803872999999999</v>
      </c>
      <c r="Z46" s="168">
        <v>19.864788000000001</v>
      </c>
      <c r="AA46" s="168">
        <v>19.983273000000001</v>
      </c>
      <c r="AB46" s="168">
        <v>20.087315</v>
      </c>
      <c r="AC46" s="168">
        <v>20.195715</v>
      </c>
      <c r="AD46" s="168">
        <v>20.227964</v>
      </c>
      <c r="AE46" s="168">
        <v>20.289823999999999</v>
      </c>
      <c r="AF46" s="168">
        <v>20.303439999999998</v>
      </c>
      <c r="AG46" s="168">
        <v>20.351738000000001</v>
      </c>
      <c r="AH46" s="169">
        <v>1.191E-3</v>
      </c>
    </row>
    <row r="47" spans="1:34" x14ac:dyDescent="0.25">
      <c r="A47" s="164" t="s">
        <v>381</v>
      </c>
      <c r="B47" t="s">
        <v>342</v>
      </c>
      <c r="C47" s="168">
        <v>8.4344409999999996</v>
      </c>
      <c r="D47" s="168">
        <v>8.2594309999999993</v>
      </c>
      <c r="E47" s="168">
        <v>8.0480110000000007</v>
      </c>
      <c r="F47" s="168">
        <v>8.1022010000000009</v>
      </c>
      <c r="G47" s="168">
        <v>8.2435890000000001</v>
      </c>
      <c r="H47" s="168">
        <v>8.5702929999999995</v>
      </c>
      <c r="I47" s="168">
        <v>8.7789029999999997</v>
      </c>
      <c r="J47" s="168">
        <v>8.9812349999999999</v>
      </c>
      <c r="K47" s="168">
        <v>9.1544699999999999</v>
      </c>
      <c r="L47" s="168">
        <v>9.2509510000000006</v>
      </c>
      <c r="M47" s="168">
        <v>9.2479469999999999</v>
      </c>
      <c r="N47" s="168">
        <v>9.2891089999999998</v>
      </c>
      <c r="O47" s="168">
        <v>9.3508469999999999</v>
      </c>
      <c r="P47" s="168">
        <v>9.4125870000000003</v>
      </c>
      <c r="Q47" s="168">
        <v>9.4743209999999998</v>
      </c>
      <c r="R47" s="168">
        <v>9.5360700000000005</v>
      </c>
      <c r="S47" s="168">
        <v>9.5360639999999997</v>
      </c>
      <c r="T47" s="168">
        <v>9.5360600000000009</v>
      </c>
      <c r="U47" s="168">
        <v>9.5360600000000009</v>
      </c>
      <c r="V47" s="168">
        <v>9.5360600000000009</v>
      </c>
      <c r="W47" s="168">
        <v>9.4949030000000008</v>
      </c>
      <c r="X47" s="168">
        <v>9.4125859999999992</v>
      </c>
      <c r="Y47" s="168">
        <v>9.3407350000000005</v>
      </c>
      <c r="Z47" s="168">
        <v>9.2714009999999991</v>
      </c>
      <c r="AA47" s="168">
        <v>9.2052250000000004</v>
      </c>
      <c r="AB47" s="168">
        <v>9.1440920000000006</v>
      </c>
      <c r="AC47" s="168">
        <v>9.0754520000000003</v>
      </c>
      <c r="AD47" s="168">
        <v>9.1112029999999997</v>
      </c>
      <c r="AE47" s="168">
        <v>9.1599559999999993</v>
      </c>
      <c r="AF47" s="168">
        <v>9.2756720000000001</v>
      </c>
      <c r="AG47" s="168">
        <v>9.4367359999999998</v>
      </c>
      <c r="AH47" s="169">
        <v>4.6059999999999999E-3</v>
      </c>
    </row>
    <row r="48" spans="1:34" x14ac:dyDescent="0.25">
      <c r="A48" s="164" t="s">
        <v>382</v>
      </c>
      <c r="B48" t="s">
        <v>344</v>
      </c>
      <c r="C48" s="168">
        <v>2.537757</v>
      </c>
      <c r="D48" s="168">
        <v>3.1700339999999998</v>
      </c>
      <c r="E48" s="168">
        <v>2.743833</v>
      </c>
      <c r="F48" s="168">
        <v>2.6490490000000002</v>
      </c>
      <c r="G48" s="168">
        <v>2.704618</v>
      </c>
      <c r="H48" s="168">
        <v>2.755633</v>
      </c>
      <c r="I48" s="168">
        <v>2.832427</v>
      </c>
      <c r="J48" s="168">
        <v>2.8275869999999999</v>
      </c>
      <c r="K48" s="168">
        <v>2.8303219999999998</v>
      </c>
      <c r="L48" s="168">
        <v>2.8311600000000001</v>
      </c>
      <c r="M48" s="168">
        <v>2.832506</v>
      </c>
      <c r="N48" s="168">
        <v>2.8354940000000002</v>
      </c>
      <c r="O48" s="168">
        <v>2.8425669999999998</v>
      </c>
      <c r="P48" s="168">
        <v>2.8427500000000001</v>
      </c>
      <c r="Q48" s="168">
        <v>2.848401</v>
      </c>
      <c r="R48" s="168">
        <v>2.8601580000000002</v>
      </c>
      <c r="S48" s="168">
        <v>2.860455</v>
      </c>
      <c r="T48" s="168">
        <v>2.860446</v>
      </c>
      <c r="U48" s="168">
        <v>2.860627</v>
      </c>
      <c r="V48" s="168">
        <v>2.8616290000000002</v>
      </c>
      <c r="W48" s="168">
        <v>2.8700359999999998</v>
      </c>
      <c r="X48" s="168">
        <v>2.8825400000000001</v>
      </c>
      <c r="Y48" s="168">
        <v>2.8826679999999998</v>
      </c>
      <c r="Z48" s="168">
        <v>2.894495</v>
      </c>
      <c r="AA48" s="168">
        <v>2.8971209999999998</v>
      </c>
      <c r="AB48" s="168">
        <v>2.8972910000000001</v>
      </c>
      <c r="AC48" s="168">
        <v>2.8974549999999999</v>
      </c>
      <c r="AD48" s="168">
        <v>2.8990680000000002</v>
      </c>
      <c r="AE48" s="168">
        <v>2.9040729999999999</v>
      </c>
      <c r="AF48" s="168">
        <v>2.9081860000000002</v>
      </c>
      <c r="AG48" s="168">
        <v>2.9177740000000001</v>
      </c>
      <c r="AH48" s="169">
        <v>-2.8549999999999999E-3</v>
      </c>
    </row>
    <row r="49" spans="1:34" x14ac:dyDescent="0.25">
      <c r="A49" s="164" t="s">
        <v>383</v>
      </c>
      <c r="B49" t="s">
        <v>384</v>
      </c>
      <c r="C49" s="168">
        <v>2.8739599999999998</v>
      </c>
      <c r="D49" s="168">
        <v>2.7440380000000002</v>
      </c>
      <c r="E49" s="168">
        <v>2.706944</v>
      </c>
      <c r="F49" s="168">
        <v>2.8025509999999998</v>
      </c>
      <c r="G49" s="168">
        <v>2.7945639999999998</v>
      </c>
      <c r="H49" s="168">
        <v>2.882981</v>
      </c>
      <c r="I49" s="168">
        <v>3.0139459999999998</v>
      </c>
      <c r="J49" s="168">
        <v>3.1408459999999998</v>
      </c>
      <c r="K49" s="168">
        <v>3.2472340000000002</v>
      </c>
      <c r="L49" s="168">
        <v>3.3847450000000001</v>
      </c>
      <c r="M49" s="168">
        <v>3.5324740000000001</v>
      </c>
      <c r="N49" s="168">
        <v>3.651904</v>
      </c>
      <c r="O49" s="168">
        <v>3.6802290000000002</v>
      </c>
      <c r="P49" s="168">
        <v>3.716288</v>
      </c>
      <c r="Q49" s="168">
        <v>3.7594590000000001</v>
      </c>
      <c r="R49" s="168">
        <v>3.823969</v>
      </c>
      <c r="S49" s="168">
        <v>3.841291</v>
      </c>
      <c r="T49" s="168">
        <v>3.84829</v>
      </c>
      <c r="U49" s="168">
        <v>3.891883</v>
      </c>
      <c r="V49" s="168">
        <v>3.9141430000000001</v>
      </c>
      <c r="W49" s="168">
        <v>3.9441470000000001</v>
      </c>
      <c r="X49" s="168">
        <v>3.9782500000000001</v>
      </c>
      <c r="Y49" s="168">
        <v>4.0238209999999999</v>
      </c>
      <c r="Z49" s="168">
        <v>4.0755129999999999</v>
      </c>
      <c r="AA49" s="168">
        <v>4.1510309999999997</v>
      </c>
      <c r="AB49" s="168">
        <v>4.2305359999999999</v>
      </c>
      <c r="AC49" s="168">
        <v>4.3430819999999999</v>
      </c>
      <c r="AD49" s="168">
        <v>4.4763070000000003</v>
      </c>
      <c r="AE49" s="168">
        <v>4.6033710000000001</v>
      </c>
      <c r="AF49" s="168">
        <v>4.7543100000000003</v>
      </c>
      <c r="AG49" s="168">
        <v>4.9081400000000004</v>
      </c>
      <c r="AH49" s="169">
        <v>2.0253E-2</v>
      </c>
    </row>
    <row r="50" spans="1:34" x14ac:dyDescent="0.25">
      <c r="A50" s="164" t="s">
        <v>385</v>
      </c>
      <c r="B50" t="s">
        <v>348</v>
      </c>
      <c r="C50" s="168">
        <v>1.3069649999999999</v>
      </c>
      <c r="D50" s="168">
        <v>1.580276</v>
      </c>
      <c r="E50" s="168">
        <v>1.7707250000000001</v>
      </c>
      <c r="F50" s="168">
        <v>2.0530910000000002</v>
      </c>
      <c r="G50" s="168">
        <v>2.0914990000000002</v>
      </c>
      <c r="H50" s="168">
        <v>2.1154030000000001</v>
      </c>
      <c r="I50" s="168">
        <v>2.1213570000000002</v>
      </c>
      <c r="J50" s="168">
        <v>2.1470090000000002</v>
      </c>
      <c r="K50" s="168">
        <v>2.167767</v>
      </c>
      <c r="L50" s="168">
        <v>2.1915930000000001</v>
      </c>
      <c r="M50" s="168">
        <v>2.217241</v>
      </c>
      <c r="N50" s="168">
        <v>2.2487979999999999</v>
      </c>
      <c r="O50" s="168">
        <v>2.264453</v>
      </c>
      <c r="P50" s="168">
        <v>2.2779259999999999</v>
      </c>
      <c r="Q50" s="168">
        <v>2.2934269999999999</v>
      </c>
      <c r="R50" s="168">
        <v>2.3159429999999999</v>
      </c>
      <c r="S50" s="168">
        <v>2.3503799999999999</v>
      </c>
      <c r="T50" s="168">
        <v>2.3912960000000001</v>
      </c>
      <c r="U50" s="168">
        <v>2.4297900000000001</v>
      </c>
      <c r="V50" s="168">
        <v>2.4659759999999999</v>
      </c>
      <c r="W50" s="168">
        <v>2.4995560000000001</v>
      </c>
      <c r="X50" s="168">
        <v>2.529757</v>
      </c>
      <c r="Y50" s="168">
        <v>2.5883600000000002</v>
      </c>
      <c r="Z50" s="168">
        <v>2.6771850000000001</v>
      </c>
      <c r="AA50" s="168">
        <v>2.7877640000000001</v>
      </c>
      <c r="AB50" s="168">
        <v>2.9103780000000001</v>
      </c>
      <c r="AC50" s="168">
        <v>3.053077</v>
      </c>
      <c r="AD50" s="168">
        <v>3.2131880000000002</v>
      </c>
      <c r="AE50" s="168">
        <v>3.3932060000000002</v>
      </c>
      <c r="AF50" s="168">
        <v>3.6031589999999998</v>
      </c>
      <c r="AG50" s="168">
        <v>3.836595</v>
      </c>
      <c r="AH50" s="169">
        <v>3.1057999999999999E-2</v>
      </c>
    </row>
    <row r="51" spans="1:34" x14ac:dyDescent="0.25">
      <c r="A51" s="164" t="s">
        <v>386</v>
      </c>
      <c r="B51" t="s">
        <v>387</v>
      </c>
      <c r="C51" s="168">
        <v>0.312834</v>
      </c>
      <c r="D51" s="168">
        <v>0.35137600000000002</v>
      </c>
      <c r="E51" s="168">
        <v>0.37872699999999998</v>
      </c>
      <c r="F51" s="168">
        <v>0.332702</v>
      </c>
      <c r="G51" s="168">
        <v>0.335926</v>
      </c>
      <c r="H51" s="168">
        <v>0.31981999999999999</v>
      </c>
      <c r="I51" s="168">
        <v>0.32617200000000002</v>
      </c>
      <c r="J51" s="168">
        <v>0.32244899999999999</v>
      </c>
      <c r="K51" s="168">
        <v>0.31625500000000001</v>
      </c>
      <c r="L51" s="168">
        <v>0.30923899999999999</v>
      </c>
      <c r="M51" s="168">
        <v>0.30852400000000002</v>
      </c>
      <c r="N51" s="168">
        <v>0.32778200000000002</v>
      </c>
      <c r="O51" s="168">
        <v>0.32162499999999999</v>
      </c>
      <c r="P51" s="168">
        <v>0.31222499999999997</v>
      </c>
      <c r="Q51" s="168">
        <v>0.30959300000000001</v>
      </c>
      <c r="R51" s="168">
        <v>0.30104399999999998</v>
      </c>
      <c r="S51" s="168">
        <v>0.30088199999999998</v>
      </c>
      <c r="T51" s="168">
        <v>0.28762799999999999</v>
      </c>
      <c r="U51" s="168">
        <v>0.29238900000000001</v>
      </c>
      <c r="V51" s="168">
        <v>0.28559299999999999</v>
      </c>
      <c r="W51" s="168">
        <v>0.27524100000000001</v>
      </c>
      <c r="X51" s="168">
        <v>0.275613</v>
      </c>
      <c r="Y51" s="168">
        <v>0.27513799999999999</v>
      </c>
      <c r="Z51" s="168">
        <v>0.27126099999999997</v>
      </c>
      <c r="AA51" s="168">
        <v>0.26756200000000002</v>
      </c>
      <c r="AB51" s="168">
        <v>0.26357700000000001</v>
      </c>
      <c r="AC51" s="168">
        <v>0.26788000000000001</v>
      </c>
      <c r="AD51" s="168">
        <v>0.28863800000000001</v>
      </c>
      <c r="AE51" s="168">
        <v>0.29132400000000003</v>
      </c>
      <c r="AF51" s="168">
        <v>0.29151100000000002</v>
      </c>
      <c r="AG51" s="168">
        <v>0.291686</v>
      </c>
      <c r="AH51" s="169">
        <v>-6.3990000000000002E-3</v>
      </c>
    </row>
    <row r="52" spans="1:34" x14ac:dyDescent="0.25">
      <c r="A52" s="164" t="s">
        <v>388</v>
      </c>
      <c r="B52" s="16" t="s">
        <v>389</v>
      </c>
      <c r="C52" s="170">
        <v>98.350609000000006</v>
      </c>
      <c r="D52" s="170">
        <v>97.696663000000001</v>
      </c>
      <c r="E52" s="170">
        <v>96.065025000000006</v>
      </c>
      <c r="F52" s="170">
        <v>96.260848999999993</v>
      </c>
      <c r="G52" s="170">
        <v>96.560912999999999</v>
      </c>
      <c r="H52" s="170">
        <v>97.724097999999998</v>
      </c>
      <c r="I52" s="170">
        <v>98.345344999999995</v>
      </c>
      <c r="J52" s="170">
        <v>99.127251000000001</v>
      </c>
      <c r="K52" s="170">
        <v>99.904662999999999</v>
      </c>
      <c r="L52" s="170">
        <v>100.677559</v>
      </c>
      <c r="M52" s="170">
        <v>101.03877300000001</v>
      </c>
      <c r="N52" s="170">
        <v>101.272942</v>
      </c>
      <c r="O52" s="170">
        <v>101.716286</v>
      </c>
      <c r="P52" s="170">
        <v>101.97007000000001</v>
      </c>
      <c r="Q52" s="170">
        <v>102.180122</v>
      </c>
      <c r="R52" s="170">
        <v>102.338669</v>
      </c>
      <c r="S52" s="170">
        <v>102.427567</v>
      </c>
      <c r="T52" s="170">
        <v>102.457588</v>
      </c>
      <c r="U52" s="170">
        <v>102.513184</v>
      </c>
      <c r="V52" s="170">
        <v>102.617531</v>
      </c>
      <c r="W52" s="170">
        <v>102.80903600000001</v>
      </c>
      <c r="X52" s="170">
        <v>103.05265799999999</v>
      </c>
      <c r="Y52" s="170">
        <v>103.288101</v>
      </c>
      <c r="Z52" s="170">
        <v>103.56559</v>
      </c>
      <c r="AA52" s="170">
        <v>103.970016</v>
      </c>
      <c r="AB52" s="170">
        <v>104.411118</v>
      </c>
      <c r="AC52" s="170">
        <v>104.889053</v>
      </c>
      <c r="AD52" s="170">
        <v>105.443169</v>
      </c>
      <c r="AE52" s="170">
        <v>106.115257</v>
      </c>
      <c r="AF52" s="170">
        <v>106.851471</v>
      </c>
      <c r="AG52" s="170">
        <v>107.637413</v>
      </c>
      <c r="AH52" s="171">
        <v>3.3470000000000001E-3</v>
      </c>
    </row>
    <row r="53" spans="1:34" x14ac:dyDescent="0.25">
      <c r="AH53" s="167"/>
    </row>
    <row r="54" spans="1:34" x14ac:dyDescent="0.25">
      <c r="B54" s="16" t="s">
        <v>390</v>
      </c>
      <c r="AH54" s="167"/>
    </row>
    <row r="55" spans="1:34" x14ac:dyDescent="0.25">
      <c r="A55" s="164" t="s">
        <v>391</v>
      </c>
      <c r="B55" t="s">
        <v>392</v>
      </c>
      <c r="C55" s="168">
        <v>81.307022000000003</v>
      </c>
      <c r="D55" s="168">
        <v>111.260002</v>
      </c>
      <c r="E55" s="168">
        <v>108.503288</v>
      </c>
      <c r="F55" s="168">
        <v>96.805297999999993</v>
      </c>
      <c r="G55" s="168">
        <v>97.000731999999999</v>
      </c>
      <c r="H55" s="168">
        <v>95.908195000000006</v>
      </c>
      <c r="I55" s="168">
        <v>97.000731999999999</v>
      </c>
      <c r="J55" s="168">
        <v>99.076545999999993</v>
      </c>
      <c r="K55" s="168">
        <v>101.19678500000001</v>
      </c>
      <c r="L55" s="168">
        <v>103.362396</v>
      </c>
      <c r="M55" s="168">
        <v>105.574348</v>
      </c>
      <c r="N55" s="168">
        <v>107.833641</v>
      </c>
      <c r="O55" s="168">
        <v>110.14128100000001</v>
      </c>
      <c r="P55" s="168">
        <v>112.498299</v>
      </c>
      <c r="Q55" s="168">
        <v>114.90576900000001</v>
      </c>
      <c r="R55" s="168">
        <v>117.364761</v>
      </c>
      <c r="S55" s="168">
        <v>119.876358</v>
      </c>
      <c r="T55" s="168">
        <v>122.441711</v>
      </c>
      <c r="U55" s="168">
        <v>125.06197400000001</v>
      </c>
      <c r="V55" s="168">
        <v>127.738281</v>
      </c>
      <c r="W55" s="168">
        <v>130.47189299999999</v>
      </c>
      <c r="X55" s="168">
        <v>133.263992</v>
      </c>
      <c r="Y55" s="168">
        <v>136.11582899999999</v>
      </c>
      <c r="Z55" s="168">
        <v>139.028717</v>
      </c>
      <c r="AA55" s="168">
        <v>142.184662</v>
      </c>
      <c r="AB55" s="168">
        <v>145.412262</v>
      </c>
      <c r="AC55" s="168">
        <v>148.71312</v>
      </c>
      <c r="AD55" s="168">
        <v>152.088898</v>
      </c>
      <c r="AE55" s="168">
        <v>155.54132100000001</v>
      </c>
      <c r="AF55" s="168">
        <v>159.072113</v>
      </c>
      <c r="AG55" s="168">
        <v>162.683044</v>
      </c>
      <c r="AH55" s="169">
        <v>1.3187000000000001E-2</v>
      </c>
    </row>
    <row r="56" spans="1:34" x14ac:dyDescent="0.25">
      <c r="A56" s="164" t="s">
        <v>393</v>
      </c>
      <c r="B56" t="s">
        <v>394</v>
      </c>
      <c r="C56" s="168">
        <v>81.082329000000001</v>
      </c>
      <c r="D56" s="168">
        <v>94.859168999999994</v>
      </c>
      <c r="E56" s="168">
        <v>92.487885000000006</v>
      </c>
      <c r="F56" s="168">
        <v>87.805297999999993</v>
      </c>
      <c r="G56" s="168">
        <v>88.300728000000007</v>
      </c>
      <c r="H56" s="168">
        <v>88.208190999999999</v>
      </c>
      <c r="I56" s="168">
        <v>91.330726999999996</v>
      </c>
      <c r="J56" s="168">
        <v>96.076545999999993</v>
      </c>
      <c r="K56" s="168">
        <v>98.696785000000006</v>
      </c>
      <c r="L56" s="168">
        <v>101.262398</v>
      </c>
      <c r="M56" s="168">
        <v>103.574341</v>
      </c>
      <c r="N56" s="168">
        <v>105.833641</v>
      </c>
      <c r="O56" s="168">
        <v>108.141273</v>
      </c>
      <c r="P56" s="168">
        <v>110.498299</v>
      </c>
      <c r="Q56" s="168">
        <v>112.905762</v>
      </c>
      <c r="R56" s="168">
        <v>115.364754</v>
      </c>
      <c r="S56" s="168">
        <v>117.876358</v>
      </c>
      <c r="T56" s="168">
        <v>120.441711</v>
      </c>
      <c r="U56" s="168">
        <v>123.061966</v>
      </c>
      <c r="V56" s="168">
        <v>125.738281</v>
      </c>
      <c r="W56" s="168">
        <v>128.47189299999999</v>
      </c>
      <c r="X56" s="168">
        <v>131.263992</v>
      </c>
      <c r="Y56" s="168">
        <v>134.11582899999999</v>
      </c>
      <c r="Z56" s="168">
        <v>137.028717</v>
      </c>
      <c r="AA56" s="168">
        <v>140.184662</v>
      </c>
      <c r="AB56" s="168">
        <v>143.41224700000001</v>
      </c>
      <c r="AC56" s="168">
        <v>146.71312</v>
      </c>
      <c r="AD56" s="168">
        <v>150.088898</v>
      </c>
      <c r="AE56" s="168">
        <v>153.54132100000001</v>
      </c>
      <c r="AF56" s="168">
        <v>157.07212799999999</v>
      </c>
      <c r="AG56" s="168">
        <v>160.683044</v>
      </c>
      <c r="AH56" s="169">
        <v>1.8339999999999999E-2</v>
      </c>
    </row>
    <row r="57" spans="1:34" x14ac:dyDescent="0.25">
      <c r="A57" s="164" t="s">
        <v>395</v>
      </c>
      <c r="B57" t="s">
        <v>396</v>
      </c>
      <c r="C57" s="168">
        <v>4.4632059999999996</v>
      </c>
      <c r="D57" s="168">
        <v>3.98</v>
      </c>
      <c r="E57" s="168">
        <v>2.6184319999999999</v>
      </c>
      <c r="F57" s="168">
        <v>3.2508349999999999</v>
      </c>
      <c r="G57" s="168">
        <v>3.1220560000000002</v>
      </c>
      <c r="H57" s="168">
        <v>3.1183209999999999</v>
      </c>
      <c r="I57" s="168">
        <v>3.5657869999999998</v>
      </c>
      <c r="J57" s="168">
        <v>3.6971240000000001</v>
      </c>
      <c r="K57" s="168">
        <v>3.957792</v>
      </c>
      <c r="L57" s="168">
        <v>4.0465479999999996</v>
      </c>
      <c r="M57" s="168">
        <v>4.1338720000000002</v>
      </c>
      <c r="N57" s="168">
        <v>4.2581110000000004</v>
      </c>
      <c r="O57" s="168">
        <v>4.4766719999999998</v>
      </c>
      <c r="P57" s="168">
        <v>4.6741659999999996</v>
      </c>
      <c r="Q57" s="168">
        <v>4.7869960000000003</v>
      </c>
      <c r="R57" s="168">
        <v>4.8705930000000004</v>
      </c>
      <c r="S57" s="168">
        <v>5.0201380000000002</v>
      </c>
      <c r="T57" s="168">
        <v>5.0939930000000002</v>
      </c>
      <c r="U57" s="168">
        <v>5.219322</v>
      </c>
      <c r="V57" s="168">
        <v>5.2987909999999996</v>
      </c>
      <c r="W57" s="168">
        <v>5.3976699999999997</v>
      </c>
      <c r="X57" s="168">
        <v>5.5349469999999998</v>
      </c>
      <c r="Y57" s="168">
        <v>5.6305300000000003</v>
      </c>
      <c r="Z57" s="168">
        <v>5.7722819999999997</v>
      </c>
      <c r="AA57" s="168">
        <v>6.0361649999999996</v>
      </c>
      <c r="AB57" s="168">
        <v>6.3219149999999997</v>
      </c>
      <c r="AC57" s="168">
        <v>6.6940780000000002</v>
      </c>
      <c r="AD57" s="168">
        <v>7.0389290000000004</v>
      </c>
      <c r="AE57" s="168">
        <v>7.4209779999999999</v>
      </c>
      <c r="AF57" s="168">
        <v>7.5890389999999996</v>
      </c>
      <c r="AG57" s="168">
        <v>7.828633</v>
      </c>
      <c r="AH57" s="169">
        <v>2.3602000000000001E-2</v>
      </c>
    </row>
    <row r="58" spans="1:34" x14ac:dyDescent="0.25">
      <c r="A58" s="164" t="s">
        <v>397</v>
      </c>
      <c r="B58" s="172" t="s">
        <v>398</v>
      </c>
      <c r="C58" s="168">
        <v>36.369506999999999</v>
      </c>
      <c r="D58" s="168">
        <v>41.159996</v>
      </c>
      <c r="E58" s="168">
        <v>44.318469999999998</v>
      </c>
      <c r="F58" s="168">
        <v>43.032169000000003</v>
      </c>
      <c r="G58" s="168">
        <v>43.803165</v>
      </c>
      <c r="H58" s="168">
        <v>45.680236999999998</v>
      </c>
      <c r="I58" s="168">
        <v>48.693897</v>
      </c>
      <c r="J58" s="168">
        <v>48.850566999999998</v>
      </c>
      <c r="K58" s="168">
        <v>48.890064000000002</v>
      </c>
      <c r="L58" s="168">
        <v>48.842449000000002</v>
      </c>
      <c r="M58" s="168">
        <v>49.264881000000003</v>
      </c>
      <c r="N58" s="168">
        <v>49.727111999999998</v>
      </c>
      <c r="O58" s="168">
        <v>50.602736999999998</v>
      </c>
      <c r="P58" s="168">
        <v>51.068581000000002</v>
      </c>
      <c r="Q58" s="168">
        <v>51.520972999999998</v>
      </c>
      <c r="R58" s="168">
        <v>52.017788000000003</v>
      </c>
      <c r="S58" s="168">
        <v>52.581828999999999</v>
      </c>
      <c r="T58" s="168">
        <v>53.363056</v>
      </c>
      <c r="U58" s="168">
        <v>53.904693999999999</v>
      </c>
      <c r="V58" s="168">
        <v>54.739628000000003</v>
      </c>
      <c r="W58" s="168">
        <v>55.643002000000003</v>
      </c>
      <c r="X58" s="168">
        <v>56.223014999999997</v>
      </c>
      <c r="Y58" s="168">
        <v>56.733322000000001</v>
      </c>
      <c r="Z58" s="168">
        <v>57.148048000000003</v>
      </c>
      <c r="AA58" s="168">
        <v>57.778030000000001</v>
      </c>
      <c r="AB58" s="168">
        <v>58.574738000000004</v>
      </c>
      <c r="AC58" s="168">
        <v>59.095408999999997</v>
      </c>
      <c r="AD58" s="168">
        <v>59.748379</v>
      </c>
      <c r="AE58" s="168">
        <v>60.254855999999997</v>
      </c>
      <c r="AF58" s="168">
        <v>60.79213</v>
      </c>
      <c r="AG58" s="168">
        <v>61.282547000000001</v>
      </c>
      <c r="AH58" s="169">
        <v>1.3820000000000001E-2</v>
      </c>
    </row>
    <row r="59" spans="1:34" x14ac:dyDescent="0.25">
      <c r="A59" s="164" t="s">
        <v>399</v>
      </c>
      <c r="B59" s="172" t="s">
        <v>400</v>
      </c>
      <c r="C59" s="168">
        <v>1.801215</v>
      </c>
      <c r="D59" s="168">
        <v>2.0440999999999998</v>
      </c>
      <c r="E59" s="168">
        <v>2.1756319999999998</v>
      </c>
      <c r="F59" s="168">
        <v>2.1256659999999998</v>
      </c>
      <c r="G59" s="168">
        <v>2.1791499999999999</v>
      </c>
      <c r="H59" s="168">
        <v>2.2659060000000002</v>
      </c>
      <c r="I59" s="168">
        <v>2.393027</v>
      </c>
      <c r="J59" s="168">
        <v>2.407975</v>
      </c>
      <c r="K59" s="168">
        <v>2.4203139999999999</v>
      </c>
      <c r="L59" s="168">
        <v>2.4278559999999998</v>
      </c>
      <c r="M59" s="168">
        <v>2.4526910000000002</v>
      </c>
      <c r="N59" s="168">
        <v>2.4808829999999999</v>
      </c>
      <c r="O59" s="168">
        <v>2.5204369999999998</v>
      </c>
      <c r="P59" s="168">
        <v>2.5453999999999999</v>
      </c>
      <c r="Q59" s="168">
        <v>2.570201</v>
      </c>
      <c r="R59" s="168">
        <v>2.5973989999999998</v>
      </c>
      <c r="S59" s="168">
        <v>2.6278809999999999</v>
      </c>
      <c r="T59" s="168">
        <v>2.6685310000000002</v>
      </c>
      <c r="U59" s="168">
        <v>2.6994310000000001</v>
      </c>
      <c r="V59" s="168">
        <v>2.7409430000000001</v>
      </c>
      <c r="W59" s="168">
        <v>2.7866029999999999</v>
      </c>
      <c r="X59" s="168">
        <v>2.8148279999999999</v>
      </c>
      <c r="Y59" s="168">
        <v>2.8438020000000002</v>
      </c>
      <c r="Z59" s="168">
        <v>2.8675869999999999</v>
      </c>
      <c r="AA59" s="168">
        <v>2.8994900000000001</v>
      </c>
      <c r="AB59" s="168">
        <v>2.9403380000000001</v>
      </c>
      <c r="AC59" s="168">
        <v>2.9686059999999999</v>
      </c>
      <c r="AD59" s="168">
        <v>3.0014379999999998</v>
      </c>
      <c r="AE59" s="168">
        <v>3.0278999999999998</v>
      </c>
      <c r="AF59" s="168">
        <v>3.0537860000000001</v>
      </c>
      <c r="AG59" s="168">
        <v>3.0806789999999999</v>
      </c>
      <c r="AH59" s="169">
        <v>1.4245000000000001E-2</v>
      </c>
    </row>
    <row r="60" spans="1:34" x14ac:dyDescent="0.25">
      <c r="A60" s="164" t="s">
        <v>401</v>
      </c>
      <c r="B60" s="172" t="s">
        <v>402</v>
      </c>
      <c r="C60" s="168">
        <v>2.420871</v>
      </c>
      <c r="D60" s="168">
        <v>2.571367</v>
      </c>
      <c r="E60" s="168">
        <v>2.631399</v>
      </c>
      <c r="F60" s="168">
        <v>2.5616300000000001</v>
      </c>
      <c r="G60" s="168">
        <v>2.6165219999999998</v>
      </c>
      <c r="H60" s="168">
        <v>2.6387930000000002</v>
      </c>
      <c r="I60" s="168">
        <v>2.7137389999999999</v>
      </c>
      <c r="J60" s="168">
        <v>2.7208700000000001</v>
      </c>
      <c r="K60" s="168">
        <v>2.7313139999999998</v>
      </c>
      <c r="L60" s="168">
        <v>2.7353540000000001</v>
      </c>
      <c r="M60" s="168">
        <v>2.7685469999999999</v>
      </c>
      <c r="N60" s="168">
        <v>2.8004720000000001</v>
      </c>
      <c r="O60" s="168">
        <v>2.84361</v>
      </c>
      <c r="P60" s="168">
        <v>2.875515</v>
      </c>
      <c r="Q60" s="168">
        <v>2.9056600000000001</v>
      </c>
      <c r="R60" s="168">
        <v>2.935146</v>
      </c>
      <c r="S60" s="168">
        <v>2.9690850000000002</v>
      </c>
      <c r="T60" s="168">
        <v>3.000127</v>
      </c>
      <c r="U60" s="168">
        <v>3.0283180000000001</v>
      </c>
      <c r="V60" s="168">
        <v>3.0623490000000002</v>
      </c>
      <c r="W60" s="168">
        <v>3.0998929999999998</v>
      </c>
      <c r="X60" s="168">
        <v>3.1277949999999999</v>
      </c>
      <c r="Y60" s="168">
        <v>3.153076</v>
      </c>
      <c r="Z60" s="168">
        <v>3.1815000000000002</v>
      </c>
      <c r="AA60" s="168">
        <v>3.2121010000000001</v>
      </c>
      <c r="AB60" s="168">
        <v>3.2528920000000001</v>
      </c>
      <c r="AC60" s="168">
        <v>3.2888790000000001</v>
      </c>
      <c r="AD60" s="168">
        <v>3.3236430000000001</v>
      </c>
      <c r="AE60" s="168">
        <v>3.3581080000000001</v>
      </c>
      <c r="AF60" s="168">
        <v>3.391292</v>
      </c>
      <c r="AG60" s="168">
        <v>3.4216579999999999</v>
      </c>
      <c r="AH60" s="169">
        <v>9.9000000000000008E-3</v>
      </c>
    </row>
    <row r="61" spans="1:34" x14ac:dyDescent="0.25">
      <c r="A61" s="164" t="s">
        <v>403</v>
      </c>
      <c r="B61" t="s">
        <v>404</v>
      </c>
      <c r="C61" s="173">
        <v>10.03265</v>
      </c>
      <c r="D61" s="173">
        <v>9.9050349999999998</v>
      </c>
      <c r="E61" s="173">
        <v>9.4100420000000007</v>
      </c>
      <c r="F61" s="173">
        <v>9.1944130000000008</v>
      </c>
      <c r="G61" s="173">
        <v>9.2373609999999999</v>
      </c>
      <c r="H61" s="173">
        <v>9.1792079999999991</v>
      </c>
      <c r="I61" s="173">
        <v>9.3329590000000007</v>
      </c>
      <c r="J61" s="173">
        <v>9.4086599999999994</v>
      </c>
      <c r="K61" s="173">
        <v>9.4346180000000004</v>
      </c>
      <c r="L61" s="173">
        <v>9.3935960000000005</v>
      </c>
      <c r="M61" s="173">
        <v>9.3835069999999998</v>
      </c>
      <c r="N61" s="173">
        <v>9.4142569999999992</v>
      </c>
      <c r="O61" s="173">
        <v>9.4255209999999998</v>
      </c>
      <c r="P61" s="173">
        <v>9.4411819999999995</v>
      </c>
      <c r="Q61" s="173">
        <v>9.4729039999999998</v>
      </c>
      <c r="R61" s="173">
        <v>9.4827460000000006</v>
      </c>
      <c r="S61" s="173">
        <v>9.5086080000000006</v>
      </c>
      <c r="T61" s="173">
        <v>9.5501989999999992</v>
      </c>
      <c r="U61" s="173">
        <v>9.6055930000000007</v>
      </c>
      <c r="V61" s="173">
        <v>9.6554149999999996</v>
      </c>
      <c r="W61" s="173">
        <v>9.6936049999999998</v>
      </c>
      <c r="X61" s="173">
        <v>9.7498380000000004</v>
      </c>
      <c r="Y61" s="173">
        <v>9.8080759999999998</v>
      </c>
      <c r="Z61" s="173">
        <v>9.8715659999999996</v>
      </c>
      <c r="AA61" s="173">
        <v>9.9462390000000003</v>
      </c>
      <c r="AB61" s="173">
        <v>10.081303</v>
      </c>
      <c r="AC61" s="173">
        <v>10.242475000000001</v>
      </c>
      <c r="AD61" s="173">
        <v>10.38156</v>
      </c>
      <c r="AE61" s="173">
        <v>10.522055999999999</v>
      </c>
      <c r="AF61" s="173">
        <v>10.685328</v>
      </c>
      <c r="AG61" s="173">
        <v>10.773884000000001</v>
      </c>
      <c r="AH61" s="169">
        <v>2.9039999999999999E-3</v>
      </c>
    </row>
    <row r="62" spans="1:34" x14ac:dyDescent="0.25">
      <c r="AH62" s="167"/>
    </row>
    <row r="63" spans="1:34" x14ac:dyDescent="0.25">
      <c r="AH63" s="167"/>
    </row>
    <row r="64" spans="1:34" x14ac:dyDescent="0.25">
      <c r="B64" s="16" t="s">
        <v>88</v>
      </c>
      <c r="AH64" s="167"/>
    </row>
    <row r="65" spans="1:34" x14ac:dyDescent="0.25">
      <c r="A65" s="164" t="s">
        <v>90</v>
      </c>
      <c r="B65" t="s">
        <v>392</v>
      </c>
      <c r="C65" s="168">
        <v>79.609076999999999</v>
      </c>
      <c r="D65" s="168">
        <v>111.260002</v>
      </c>
      <c r="E65" s="168">
        <v>110.429581</v>
      </c>
      <c r="F65" s="168">
        <v>100.199944</v>
      </c>
      <c r="G65" s="168">
        <v>101.814072</v>
      </c>
      <c r="H65" s="168">
        <v>102.21024300000001</v>
      </c>
      <c r="I65" s="168">
        <v>104.991905</v>
      </c>
      <c r="J65" s="168">
        <v>108.866219</v>
      </c>
      <c r="K65" s="168">
        <v>112.989059</v>
      </c>
      <c r="L65" s="168">
        <v>117.23279599999999</v>
      </c>
      <c r="M65" s="168">
        <v>121.734543</v>
      </c>
      <c r="N65" s="168">
        <v>126.496666</v>
      </c>
      <c r="O65" s="168">
        <v>131.549286</v>
      </c>
      <c r="P65" s="168">
        <v>136.798553</v>
      </c>
      <c r="Q65" s="168">
        <v>142.23902899999999</v>
      </c>
      <c r="R65" s="168">
        <v>147.90152</v>
      </c>
      <c r="S65" s="168">
        <v>153.81539900000001</v>
      </c>
      <c r="T65" s="168">
        <v>159.95642100000001</v>
      </c>
      <c r="U65" s="168">
        <v>166.36596700000001</v>
      </c>
      <c r="V65" s="168">
        <v>173.072464</v>
      </c>
      <c r="W65" s="168">
        <v>180.043701</v>
      </c>
      <c r="X65" s="168">
        <v>187.332672</v>
      </c>
      <c r="Y65" s="168">
        <v>194.86944600000001</v>
      </c>
      <c r="Z65" s="168">
        <v>202.67918399999999</v>
      </c>
      <c r="AA65" s="168">
        <v>211.04418899999999</v>
      </c>
      <c r="AB65" s="168">
        <v>219.72679099999999</v>
      </c>
      <c r="AC65" s="168">
        <v>228.76440400000001</v>
      </c>
      <c r="AD65" s="168">
        <v>238.16383400000001</v>
      </c>
      <c r="AE65" s="168">
        <v>247.915817</v>
      </c>
      <c r="AF65" s="168">
        <v>258.02542099999999</v>
      </c>
      <c r="AG65" s="168">
        <v>268.49939000000001</v>
      </c>
      <c r="AH65" s="169">
        <v>3.0845000000000001E-2</v>
      </c>
    </row>
    <row r="66" spans="1:34" x14ac:dyDescent="0.25">
      <c r="A66" s="164" t="s">
        <v>89</v>
      </c>
      <c r="B66" t="s">
        <v>394</v>
      </c>
      <c r="C66" s="168">
        <v>79.389076000000003</v>
      </c>
      <c r="D66" s="168">
        <v>94.859168999999994</v>
      </c>
      <c r="E66" s="168">
        <v>94.129845000000003</v>
      </c>
      <c r="F66" s="168">
        <v>90.884338</v>
      </c>
      <c r="G66" s="168">
        <v>92.682357999999994</v>
      </c>
      <c r="H66" s="168">
        <v>94.004279999999994</v>
      </c>
      <c r="I66" s="168">
        <v>98.854789999999994</v>
      </c>
      <c r="J66" s="168">
        <v>105.56978599999999</v>
      </c>
      <c r="K66" s="168">
        <v>110.197731</v>
      </c>
      <c r="L66" s="168">
        <v>114.850998</v>
      </c>
      <c r="M66" s="168">
        <v>119.428398</v>
      </c>
      <c r="N66" s="168">
        <v>124.15052799999999</v>
      </c>
      <c r="O66" s="168">
        <v>129.160538</v>
      </c>
      <c r="P66" s="168">
        <v>134.366547</v>
      </c>
      <c r="Q66" s="168">
        <v>139.76327499999999</v>
      </c>
      <c r="R66" s="168">
        <v>145.38114899999999</v>
      </c>
      <c r="S66" s="168">
        <v>151.24916099999999</v>
      </c>
      <c r="T66" s="168">
        <v>157.34364299999999</v>
      </c>
      <c r="U66" s="168">
        <v>163.70542900000001</v>
      </c>
      <c r="V66" s="168">
        <v>170.36265599999999</v>
      </c>
      <c r="W66" s="168">
        <v>177.28381300000001</v>
      </c>
      <c r="X66" s="168">
        <v>184.52122499999999</v>
      </c>
      <c r="Y66" s="168">
        <v>192.00616500000001</v>
      </c>
      <c r="Z66" s="168">
        <v>199.76353499999999</v>
      </c>
      <c r="AA66" s="168">
        <v>208.075592</v>
      </c>
      <c r="AB66" s="168">
        <v>216.704666</v>
      </c>
      <c r="AC66" s="168">
        <v>225.68781999999999</v>
      </c>
      <c r="AD66" s="168">
        <v>235.03195199999999</v>
      </c>
      <c r="AE66" s="168">
        <v>244.728027</v>
      </c>
      <c r="AF66" s="168">
        <v>254.78132600000001</v>
      </c>
      <c r="AG66" s="168">
        <v>265.19851699999998</v>
      </c>
      <c r="AH66" s="169">
        <v>3.6087000000000001E-2</v>
      </c>
    </row>
    <row r="67" spans="1:34" x14ac:dyDescent="0.25">
      <c r="A67" s="164" t="s">
        <v>91</v>
      </c>
      <c r="B67" t="s">
        <v>396</v>
      </c>
      <c r="C67" s="168">
        <v>4.37</v>
      </c>
      <c r="D67" s="168">
        <v>3.98</v>
      </c>
      <c r="E67" s="168">
        <v>2.6649180000000001</v>
      </c>
      <c r="F67" s="168">
        <v>3.3648310000000001</v>
      </c>
      <c r="G67" s="168">
        <v>3.2769780000000002</v>
      </c>
      <c r="H67" s="168">
        <v>3.3232240000000002</v>
      </c>
      <c r="I67" s="168">
        <v>3.8595459999999999</v>
      </c>
      <c r="J67" s="168">
        <v>4.0624330000000004</v>
      </c>
      <c r="K67" s="168">
        <v>4.4189850000000002</v>
      </c>
      <c r="L67" s="168">
        <v>4.5895619999999999</v>
      </c>
      <c r="M67" s="168">
        <v>4.7666409999999999</v>
      </c>
      <c r="N67" s="168">
        <v>4.9950729999999997</v>
      </c>
      <c r="O67" s="168">
        <v>5.3467969999999996</v>
      </c>
      <c r="P67" s="168">
        <v>5.6838119999999996</v>
      </c>
      <c r="Q67" s="168">
        <v>5.9257049999999998</v>
      </c>
      <c r="R67" s="168">
        <v>6.1378570000000003</v>
      </c>
      <c r="S67" s="168">
        <v>6.4414249999999997</v>
      </c>
      <c r="T67" s="168">
        <v>6.6547330000000002</v>
      </c>
      <c r="U67" s="168">
        <v>6.943098</v>
      </c>
      <c r="V67" s="168">
        <v>7.1793269999999998</v>
      </c>
      <c r="W67" s="168">
        <v>7.448474</v>
      </c>
      <c r="X67" s="168">
        <v>7.7806199999999999</v>
      </c>
      <c r="Y67" s="168">
        <v>8.0609169999999999</v>
      </c>
      <c r="Z67" s="168">
        <v>8.4149619999999992</v>
      </c>
      <c r="AA67" s="168">
        <v>8.9594579999999997</v>
      </c>
      <c r="AB67" s="168">
        <v>9.5527999999999995</v>
      </c>
      <c r="AC67" s="168">
        <v>10.297456</v>
      </c>
      <c r="AD67" s="168">
        <v>11.02262</v>
      </c>
      <c r="AE67" s="168">
        <v>11.828226000000001</v>
      </c>
      <c r="AF67" s="168">
        <v>12.30992</v>
      </c>
      <c r="AG67" s="168">
        <v>12.920726</v>
      </c>
      <c r="AH67" s="169">
        <v>4.1440999999999999E-2</v>
      </c>
    </row>
    <row r="68" spans="1:34" x14ac:dyDescent="0.25">
      <c r="A68" s="164" t="s">
        <v>92</v>
      </c>
      <c r="B68" s="172" t="s">
        <v>398</v>
      </c>
      <c r="C68" s="168">
        <v>35.610000999999997</v>
      </c>
      <c r="D68" s="168">
        <v>41.159996</v>
      </c>
      <c r="E68" s="168">
        <v>45.105266999999998</v>
      </c>
      <c r="F68" s="168">
        <v>44.541164000000002</v>
      </c>
      <c r="G68" s="168">
        <v>45.976753000000002</v>
      </c>
      <c r="H68" s="168">
        <v>48.681846999999998</v>
      </c>
      <c r="I68" s="168">
        <v>52.705424999999998</v>
      </c>
      <c r="J68" s="168">
        <v>53.677452000000002</v>
      </c>
      <c r="K68" s="168">
        <v>54.587131999999997</v>
      </c>
      <c r="L68" s="168">
        <v>55.396712999999998</v>
      </c>
      <c r="M68" s="168">
        <v>56.805824000000001</v>
      </c>
      <c r="N68" s="168">
        <v>58.333503999999998</v>
      </c>
      <c r="O68" s="168">
        <v>60.438324000000001</v>
      </c>
      <c r="P68" s="168">
        <v>62.099677999999997</v>
      </c>
      <c r="Q68" s="168">
        <v>63.77655</v>
      </c>
      <c r="R68" s="168">
        <v>65.552132</v>
      </c>
      <c r="S68" s="168">
        <v>67.468643</v>
      </c>
      <c r="T68" s="168">
        <v>69.712874999999997</v>
      </c>
      <c r="U68" s="168">
        <v>71.707702999999995</v>
      </c>
      <c r="V68" s="168">
        <v>74.166656000000003</v>
      </c>
      <c r="W68" s="168">
        <v>76.784142000000003</v>
      </c>
      <c r="X68" s="168">
        <v>79.034156999999993</v>
      </c>
      <c r="Y68" s="168">
        <v>81.221939000000006</v>
      </c>
      <c r="Z68" s="168">
        <v>83.311713999999995</v>
      </c>
      <c r="AA68" s="168">
        <v>85.759720000000002</v>
      </c>
      <c r="AB68" s="168">
        <v>88.510009999999994</v>
      </c>
      <c r="AC68" s="168">
        <v>90.906075000000001</v>
      </c>
      <c r="AD68" s="168">
        <v>93.563057000000001</v>
      </c>
      <c r="AE68" s="168">
        <v>96.039642000000001</v>
      </c>
      <c r="AF68" s="168">
        <v>98.608833000000004</v>
      </c>
      <c r="AG68" s="168">
        <v>101.143456</v>
      </c>
      <c r="AH68" s="169">
        <v>3.1488000000000002E-2</v>
      </c>
    </row>
    <row r="69" spans="1:34" x14ac:dyDescent="0.25">
      <c r="A69" s="164" t="s">
        <v>405</v>
      </c>
      <c r="B69" s="172" t="s">
        <v>400</v>
      </c>
      <c r="C69" s="168">
        <v>1.7636000000000001</v>
      </c>
      <c r="D69" s="168">
        <v>2.0440999999999998</v>
      </c>
      <c r="E69" s="168">
        <v>2.2142569999999999</v>
      </c>
      <c r="F69" s="168">
        <v>2.2002069999999998</v>
      </c>
      <c r="G69" s="168">
        <v>2.287283</v>
      </c>
      <c r="H69" s="168">
        <v>2.4147959999999999</v>
      </c>
      <c r="I69" s="168">
        <v>2.5901709999999998</v>
      </c>
      <c r="J69" s="168">
        <v>2.645905</v>
      </c>
      <c r="K69" s="168">
        <v>2.7023489999999999</v>
      </c>
      <c r="L69" s="168">
        <v>2.753654</v>
      </c>
      <c r="M69" s="168">
        <v>2.8281230000000002</v>
      </c>
      <c r="N69" s="168">
        <v>2.910256</v>
      </c>
      <c r="O69" s="168">
        <v>3.0103309999999999</v>
      </c>
      <c r="P69" s="168">
        <v>3.0952199999999999</v>
      </c>
      <c r="Q69" s="168">
        <v>3.1815889999999998</v>
      </c>
      <c r="R69" s="168">
        <v>3.2732070000000002</v>
      </c>
      <c r="S69" s="168">
        <v>3.3718789999999998</v>
      </c>
      <c r="T69" s="168">
        <v>3.486138</v>
      </c>
      <c r="U69" s="168">
        <v>3.5909680000000002</v>
      </c>
      <c r="V69" s="168">
        <v>3.7137009999999999</v>
      </c>
      <c r="W69" s="168">
        <v>3.8453520000000001</v>
      </c>
      <c r="X69" s="168">
        <v>3.956877</v>
      </c>
      <c r="Y69" s="168">
        <v>4.0713119999999998</v>
      </c>
      <c r="Z69" s="168">
        <v>4.1804329999999998</v>
      </c>
      <c r="AA69" s="168">
        <v>4.3037029999999996</v>
      </c>
      <c r="AB69" s="168">
        <v>4.4430310000000004</v>
      </c>
      <c r="AC69" s="168">
        <v>4.566586</v>
      </c>
      <c r="AD69" s="168">
        <v>4.700107</v>
      </c>
      <c r="AE69" s="168">
        <v>4.8261409999999998</v>
      </c>
      <c r="AF69" s="168">
        <v>4.9534419999999999</v>
      </c>
      <c r="AG69" s="168">
        <v>5.0844909999999999</v>
      </c>
      <c r="AH69" s="169">
        <v>3.1920999999999998E-2</v>
      </c>
    </row>
    <row r="70" spans="1:34" x14ac:dyDescent="0.25">
      <c r="A70" s="164" t="s">
        <v>93</v>
      </c>
      <c r="B70" s="172" t="s">
        <v>402</v>
      </c>
      <c r="C70" s="168">
        <v>2.3703159999999999</v>
      </c>
      <c r="D70" s="168">
        <v>2.571367</v>
      </c>
      <c r="E70" s="168">
        <v>2.678115</v>
      </c>
      <c r="F70" s="168">
        <v>2.6514579999999999</v>
      </c>
      <c r="G70" s="168">
        <v>2.7463579999999999</v>
      </c>
      <c r="H70" s="168">
        <v>2.8121849999999999</v>
      </c>
      <c r="I70" s="168">
        <v>2.9373040000000001</v>
      </c>
      <c r="J70" s="168">
        <v>2.9897170000000002</v>
      </c>
      <c r="K70" s="168">
        <v>3.0495890000000001</v>
      </c>
      <c r="L70" s="168">
        <v>3.102417</v>
      </c>
      <c r="M70" s="168">
        <v>3.1923270000000001</v>
      </c>
      <c r="N70" s="168">
        <v>3.2851560000000002</v>
      </c>
      <c r="O70" s="168">
        <v>3.3963179999999999</v>
      </c>
      <c r="P70" s="168">
        <v>3.496642</v>
      </c>
      <c r="Q70" s="168">
        <v>3.5968450000000001</v>
      </c>
      <c r="R70" s="168">
        <v>3.698833</v>
      </c>
      <c r="S70" s="168">
        <v>3.8096830000000002</v>
      </c>
      <c r="T70" s="168">
        <v>3.9193310000000001</v>
      </c>
      <c r="U70" s="168">
        <v>4.0284750000000003</v>
      </c>
      <c r="V70" s="168">
        <v>4.1491730000000002</v>
      </c>
      <c r="W70" s="168">
        <v>4.2776740000000002</v>
      </c>
      <c r="X70" s="168">
        <v>4.3968239999999996</v>
      </c>
      <c r="Y70" s="168">
        <v>4.5140840000000004</v>
      </c>
      <c r="Z70" s="168">
        <v>4.6380619999999997</v>
      </c>
      <c r="AA70" s="168">
        <v>4.7677100000000001</v>
      </c>
      <c r="AB70" s="168">
        <v>4.9153180000000001</v>
      </c>
      <c r="AC70" s="168">
        <v>5.0592610000000002</v>
      </c>
      <c r="AD70" s="168">
        <v>5.204663</v>
      </c>
      <c r="AE70" s="168">
        <v>5.3524560000000001</v>
      </c>
      <c r="AF70" s="168">
        <v>5.5008980000000003</v>
      </c>
      <c r="AG70" s="168">
        <v>5.6472579999999999</v>
      </c>
      <c r="AH70" s="169">
        <v>2.75E-2</v>
      </c>
    </row>
    <row r="71" spans="1:34" x14ac:dyDescent="0.25">
      <c r="A71" s="164" t="s">
        <v>94</v>
      </c>
      <c r="B71" t="s">
        <v>404</v>
      </c>
      <c r="C71" s="173">
        <v>9.8231369999999991</v>
      </c>
      <c r="D71" s="173">
        <v>9.9050349999999998</v>
      </c>
      <c r="E71" s="173">
        <v>9.577102</v>
      </c>
      <c r="F71" s="173">
        <v>9.5168309999999998</v>
      </c>
      <c r="G71" s="173">
        <v>9.6957350000000009</v>
      </c>
      <c r="H71" s="173">
        <v>9.7823659999999997</v>
      </c>
      <c r="I71" s="173">
        <v>10.101832</v>
      </c>
      <c r="J71" s="173">
        <v>10.338322</v>
      </c>
      <c r="K71" s="173">
        <v>10.534017</v>
      </c>
      <c r="L71" s="173">
        <v>10.65414</v>
      </c>
      <c r="M71" s="173">
        <v>10.819834</v>
      </c>
      <c r="N71" s="173">
        <v>11.043604999999999</v>
      </c>
      <c r="O71" s="173">
        <v>11.257547000000001</v>
      </c>
      <c r="P71" s="173">
        <v>11.48053</v>
      </c>
      <c r="Q71" s="173">
        <v>11.726274999999999</v>
      </c>
      <c r="R71" s="173">
        <v>11.950032</v>
      </c>
      <c r="S71" s="173">
        <v>12.200657</v>
      </c>
      <c r="T71" s="173">
        <v>12.476267999999999</v>
      </c>
      <c r="U71" s="173">
        <v>12.778015</v>
      </c>
      <c r="V71" s="173">
        <v>13.08211</v>
      </c>
      <c r="W71" s="173">
        <v>13.376618000000001</v>
      </c>
      <c r="X71" s="173">
        <v>13.705602000000001</v>
      </c>
      <c r="Y71" s="173">
        <v>14.041677</v>
      </c>
      <c r="Z71" s="173">
        <v>14.39099</v>
      </c>
      <c r="AA71" s="173">
        <v>14.763166</v>
      </c>
      <c r="AB71" s="173">
        <v>15.233464</v>
      </c>
      <c r="AC71" s="173">
        <v>15.755931</v>
      </c>
      <c r="AD71" s="173">
        <v>16.257019</v>
      </c>
      <c r="AE71" s="173">
        <v>16.771004000000001</v>
      </c>
      <c r="AF71" s="173">
        <v>17.332304000000001</v>
      </c>
      <c r="AG71" s="173">
        <v>17.781700000000001</v>
      </c>
      <c r="AH71" s="169">
        <v>2.0382000000000001E-2</v>
      </c>
    </row>
    <row r="72" spans="1:34" x14ac:dyDescent="0.25">
      <c r="AH72" s="167"/>
    </row>
    <row r="73" spans="1:34" x14ac:dyDescent="0.25">
      <c r="AH73" s="167"/>
    </row>
    <row r="74" spans="1:34" x14ac:dyDescent="0.25">
      <c r="AH74" s="167"/>
    </row>
    <row r="75" spans="1:34" x14ac:dyDescent="0.25">
      <c r="AH75" s="167"/>
    </row>
    <row r="76" spans="1:34" ht="11.1" customHeight="1" x14ac:dyDescent="0.25">
      <c r="B76" s="164" t="s">
        <v>406</v>
      </c>
      <c r="AH76" s="167"/>
    </row>
    <row r="77" spans="1:34" ht="11.1" customHeight="1" x14ac:dyDescent="0.25">
      <c r="B77" s="164" t="s">
        <v>407</v>
      </c>
      <c r="AH77" s="167"/>
    </row>
    <row r="78" spans="1:34" ht="11.1" customHeight="1" x14ac:dyDescent="0.25">
      <c r="B78" s="164" t="s">
        <v>408</v>
      </c>
      <c r="AH78" s="167"/>
    </row>
    <row r="79" spans="1:34" ht="11.1" customHeight="1" x14ac:dyDescent="0.25">
      <c r="B79" s="164" t="s">
        <v>409</v>
      </c>
      <c r="AH79" s="167"/>
    </row>
    <row r="80" spans="1:34" ht="11.1" customHeight="1" x14ac:dyDescent="0.25">
      <c r="B80" s="164" t="s">
        <v>410</v>
      </c>
      <c r="AH80" s="167"/>
    </row>
    <row r="81" spans="2:34" ht="11.1" customHeight="1" x14ac:dyDescent="0.25">
      <c r="B81" s="164" t="s">
        <v>411</v>
      </c>
      <c r="AH81" s="167"/>
    </row>
    <row r="82" spans="2:34" ht="11.1" customHeight="1" x14ac:dyDescent="0.25">
      <c r="B82" s="164" t="s">
        <v>412</v>
      </c>
      <c r="AH82" s="167"/>
    </row>
    <row r="83" spans="2:34" ht="11.1" customHeight="1" x14ac:dyDescent="0.25">
      <c r="B83" s="164" t="s">
        <v>413</v>
      </c>
      <c r="AH83" s="167"/>
    </row>
    <row r="84" spans="2:34" ht="11.1" customHeight="1" x14ac:dyDescent="0.25">
      <c r="B84" s="164" t="s">
        <v>414</v>
      </c>
      <c r="AH84" s="167"/>
    </row>
    <row r="85" spans="2:34" ht="11.1" customHeight="1" x14ac:dyDescent="0.25">
      <c r="B85" s="164" t="s">
        <v>415</v>
      </c>
      <c r="AH85" s="167"/>
    </row>
    <row r="86" spans="2:34" ht="11.1" customHeight="1" x14ac:dyDescent="0.25">
      <c r="B86" s="164" t="s">
        <v>416</v>
      </c>
      <c r="AH86" s="167"/>
    </row>
    <row r="87" spans="2:34" ht="11.1" customHeight="1" x14ac:dyDescent="0.25">
      <c r="B87" s="164" t="s">
        <v>417</v>
      </c>
      <c r="AH87" s="167"/>
    </row>
    <row r="88" spans="2:34" ht="11.1" customHeight="1" x14ac:dyDescent="0.25">
      <c r="B88" s="164" t="s">
        <v>418</v>
      </c>
      <c r="AH88" s="167"/>
    </row>
    <row r="89" spans="2:34" ht="11.1" customHeight="1" x14ac:dyDescent="0.25">
      <c r="B89" s="164" t="s">
        <v>419</v>
      </c>
      <c r="AH89" s="167"/>
    </row>
    <row r="90" spans="2:34" ht="11.1" customHeight="1" x14ac:dyDescent="0.25">
      <c r="B90" s="164" t="s">
        <v>420</v>
      </c>
      <c r="AH90" s="167"/>
    </row>
    <row r="91" spans="2:34" ht="11.1" customHeight="1" x14ac:dyDescent="0.25">
      <c r="B91" s="164" t="s">
        <v>421</v>
      </c>
      <c r="AH91" s="167"/>
    </row>
    <row r="92" spans="2:34" ht="11.1" customHeight="1" x14ac:dyDescent="0.25">
      <c r="B92" s="164" t="s">
        <v>422</v>
      </c>
      <c r="AH92" s="167"/>
    </row>
    <row r="93" spans="2:34" ht="11.1" customHeight="1" x14ac:dyDescent="0.25">
      <c r="B93" s="164" t="s">
        <v>423</v>
      </c>
      <c r="AH93" s="167"/>
    </row>
    <row r="94" spans="2:34" ht="11.1" customHeight="1" x14ac:dyDescent="0.25">
      <c r="B94" s="164" t="s">
        <v>424</v>
      </c>
      <c r="AH94" s="167"/>
    </row>
    <row r="95" spans="2:34" ht="11.1" customHeight="1" x14ac:dyDescent="0.25">
      <c r="B95" s="164" t="s">
        <v>425</v>
      </c>
      <c r="AH95" s="167"/>
    </row>
    <row r="96" spans="2:34" ht="11.1" customHeight="1" x14ac:dyDescent="0.25">
      <c r="B96" s="164" t="s">
        <v>426</v>
      </c>
      <c r="AH96" s="167"/>
    </row>
    <row r="97" spans="2:34" ht="11.1" customHeight="1" x14ac:dyDescent="0.25">
      <c r="B97" s="164" t="s">
        <v>427</v>
      </c>
      <c r="AH97" s="167"/>
    </row>
    <row r="98" spans="2:34" ht="11.1" customHeight="1" x14ac:dyDescent="0.25">
      <c r="B98" s="164" t="s">
        <v>428</v>
      </c>
      <c r="AH98" s="167"/>
    </row>
    <row r="99" spans="2:34" ht="11.1" customHeight="1" x14ac:dyDescent="0.25">
      <c r="B99" s="164" t="s">
        <v>429</v>
      </c>
      <c r="AH99" s="167"/>
    </row>
    <row r="100" spans="2:34" ht="11.1" customHeight="1" x14ac:dyDescent="0.25">
      <c r="B100" s="164" t="s">
        <v>430</v>
      </c>
      <c r="AH100" s="167"/>
    </row>
    <row r="101" spans="2:34" ht="11.1" customHeight="1" x14ac:dyDescent="0.25">
      <c r="B101" s="164" t="s">
        <v>431</v>
      </c>
      <c r="AH101" s="167"/>
    </row>
    <row r="102" spans="2:34" ht="11.1" customHeight="1" x14ac:dyDescent="0.25">
      <c r="B102" s="164" t="s">
        <v>95</v>
      </c>
      <c r="AH102" s="167"/>
    </row>
    <row r="103" spans="2:34" ht="11.1" customHeight="1" x14ac:dyDescent="0.25">
      <c r="B103" s="164" t="s">
        <v>432</v>
      </c>
      <c r="AH103" s="167"/>
    </row>
    <row r="104" spans="2:34" ht="11.1" customHeight="1" x14ac:dyDescent="0.25">
      <c r="B104" s="164" t="s">
        <v>96</v>
      </c>
      <c r="AH104" s="167"/>
    </row>
    <row r="105" spans="2:34" ht="11.1" customHeight="1" x14ac:dyDescent="0.25">
      <c r="B105" s="164" t="s">
        <v>433</v>
      </c>
      <c r="AH105" s="167"/>
    </row>
    <row r="106" spans="2:34" ht="11.1" customHeight="1" x14ac:dyDescent="0.25">
      <c r="B106" s="164" t="s">
        <v>97</v>
      </c>
      <c r="AH106" s="167"/>
    </row>
    <row r="107" spans="2:34" ht="11.1" customHeight="1" x14ac:dyDescent="0.25">
      <c r="B107" s="164" t="s">
        <v>434</v>
      </c>
      <c r="AH107" s="167"/>
    </row>
    <row r="108" spans="2:34" ht="11.1" customHeight="1" x14ac:dyDescent="0.25">
      <c r="B108" s="164" t="s">
        <v>435</v>
      </c>
      <c r="AH108" s="167"/>
    </row>
    <row r="109" spans="2:34" ht="11.1" customHeight="1" x14ac:dyDescent="0.25">
      <c r="B109" s="164" t="s">
        <v>436</v>
      </c>
      <c r="AH109" s="167"/>
    </row>
    <row r="110" spans="2:34" ht="11.1" customHeight="1" x14ac:dyDescent="0.25">
      <c r="B110" s="164" t="s">
        <v>437</v>
      </c>
      <c r="AH110" s="167"/>
    </row>
    <row r="111" spans="2:34" ht="11.1" customHeight="1" x14ac:dyDescent="0.25">
      <c r="B111" s="164" t="s">
        <v>438</v>
      </c>
      <c r="AH111" s="167"/>
    </row>
    <row r="112" spans="2:34" ht="11.1" customHeight="1" x14ac:dyDescent="0.25">
      <c r="B112" s="164" t="s">
        <v>439</v>
      </c>
      <c r="AH112" s="167"/>
    </row>
    <row r="113" spans="2:34" ht="11.1" customHeight="1" x14ac:dyDescent="0.25">
      <c r="B113" s="164" t="s">
        <v>440</v>
      </c>
      <c r="AH113" s="167"/>
    </row>
    <row r="114" spans="2:34" ht="11.1" customHeight="1" x14ac:dyDescent="0.25">
      <c r="B114" s="164" t="s">
        <v>441</v>
      </c>
      <c r="AH114" s="167"/>
    </row>
    <row r="115" spans="2:34" ht="11.1" customHeight="1" x14ac:dyDescent="0.25">
      <c r="B115" s="164" t="s">
        <v>442</v>
      </c>
      <c r="AH115" s="167"/>
    </row>
    <row r="116" spans="2:34" ht="11.1" customHeight="1" x14ac:dyDescent="0.25">
      <c r="B116" s="164" t="s">
        <v>443</v>
      </c>
      <c r="AH116" s="167"/>
    </row>
    <row r="117" spans="2:34" ht="11.1" customHeight="1" x14ac:dyDescent="0.25">
      <c r="B117" s="164" t="s">
        <v>444</v>
      </c>
      <c r="AH117" s="167"/>
    </row>
    <row r="118" spans="2:34" ht="11.1" customHeight="1" x14ac:dyDescent="0.25">
      <c r="B118" s="164" t="s">
        <v>445</v>
      </c>
      <c r="AH118" s="167"/>
    </row>
  </sheetData>
  <hyperlinks>
    <hyperlink ref="C7" r:id="rId1" location="annualproj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1"/>
  <sheetViews>
    <sheetView workbookViewId="0">
      <selection activeCell="J6" sqref="J6"/>
    </sheetView>
  </sheetViews>
  <sheetFormatPr defaultRowHeight="15" x14ac:dyDescent="0.25"/>
  <cols>
    <col min="6" max="6" width="10.85546875" customWidth="1"/>
    <col min="7" max="7" width="14.42578125" customWidth="1"/>
    <col min="8" max="8" width="12.5703125" customWidth="1"/>
    <col min="9" max="9" width="14.28515625" bestFit="1" customWidth="1"/>
  </cols>
  <sheetData>
    <row r="2" spans="2:11" x14ac:dyDescent="0.25">
      <c r="B2" s="71" t="s">
        <v>477</v>
      </c>
      <c r="F2" s="49"/>
      <c r="G2" s="48"/>
      <c r="H2" s="51"/>
    </row>
    <row r="3" spans="2:11" x14ac:dyDescent="0.25">
      <c r="F3" t="s">
        <v>8</v>
      </c>
      <c r="H3" t="s">
        <v>478</v>
      </c>
      <c r="I3" t="s">
        <v>41</v>
      </c>
    </row>
    <row r="4" spans="2:11" x14ac:dyDescent="0.25">
      <c r="B4" t="s">
        <v>39</v>
      </c>
      <c r="F4" s="209">
        <v>266.97146800000002</v>
      </c>
      <c r="H4" s="210">
        <v>2606722.8489999999</v>
      </c>
      <c r="I4" s="51">
        <f>ROUND(F4*1000000/(H4*1000),3)</f>
        <v>0.10199999999999999</v>
      </c>
    </row>
    <row r="5" spans="2:11" x14ac:dyDescent="0.25">
      <c r="C5" t="s">
        <v>44</v>
      </c>
      <c r="E5" s="208">
        <v>0.55900000000000005</v>
      </c>
      <c r="F5" s="49">
        <f>E5*F$4</f>
        <v>149.23705061200002</v>
      </c>
      <c r="G5" s="208">
        <v>0.45200000000000001</v>
      </c>
      <c r="H5" s="50">
        <f>G5*H$4</f>
        <v>1178238.7277480001</v>
      </c>
      <c r="I5" s="51">
        <f t="shared" ref="I5:I7" si="0">ROUND(F5*1000000/(H5*1000),3)</f>
        <v>0.127</v>
      </c>
    </row>
    <row r="6" spans="2:11" x14ac:dyDescent="0.25">
      <c r="C6" t="s">
        <v>45</v>
      </c>
      <c r="E6" s="208">
        <v>0.39500000000000002</v>
      </c>
      <c r="F6" s="49">
        <f>E6*F$4</f>
        <v>105.45372986000001</v>
      </c>
      <c r="G6" s="208">
        <v>0.51300000000000001</v>
      </c>
      <c r="H6" s="50">
        <f t="shared" ref="H6:H7" si="1">G6*H$4</f>
        <v>1337248.8215369999</v>
      </c>
      <c r="I6" s="51">
        <f t="shared" si="0"/>
        <v>7.9000000000000001E-2</v>
      </c>
      <c r="J6" s="108">
        <f>I5-I6</f>
        <v>4.8000000000000001E-2</v>
      </c>
      <c r="K6" t="s">
        <v>72</v>
      </c>
    </row>
    <row r="7" spans="2:11" x14ac:dyDescent="0.25">
      <c r="C7" t="s">
        <v>46</v>
      </c>
      <c r="E7" s="208">
        <v>3.4000000000000002E-2</v>
      </c>
      <c r="F7" s="49">
        <f>E7*F$4</f>
        <v>9.0770299120000004</v>
      </c>
      <c r="G7" s="208">
        <v>3.5000000000000003E-2</v>
      </c>
      <c r="H7" s="50">
        <f t="shared" si="1"/>
        <v>91235.299715000001</v>
      </c>
      <c r="I7" s="51">
        <f t="shared" si="0"/>
        <v>9.9000000000000005E-2</v>
      </c>
    </row>
    <row r="8" spans="2:11" x14ac:dyDescent="0.25">
      <c r="E8" s="2">
        <f>SUM(E5:E7)</f>
        <v>0.9880000000000001</v>
      </c>
      <c r="F8" s="49"/>
      <c r="G8" s="13"/>
      <c r="H8" s="51"/>
    </row>
    <row r="9" spans="2:11" x14ac:dyDescent="0.25">
      <c r="B9" t="s">
        <v>481</v>
      </c>
    </row>
    <row r="10" spans="2:11" x14ac:dyDescent="0.25">
      <c r="B10" t="s">
        <v>480</v>
      </c>
    </row>
    <row r="11" spans="2:11" x14ac:dyDescent="0.25">
      <c r="B11" s="109" t="s">
        <v>479</v>
      </c>
    </row>
    <row r="15" spans="2:11" x14ac:dyDescent="0.25">
      <c r="B15" s="71" t="s">
        <v>482</v>
      </c>
    </row>
    <row r="17" spans="3:3" x14ac:dyDescent="0.25">
      <c r="C17" t="s">
        <v>201</v>
      </c>
    </row>
    <row r="18" spans="3:3" x14ac:dyDescent="0.25">
      <c r="C18" s="109" t="s">
        <v>202</v>
      </c>
    </row>
    <row r="71" spans="2:12" x14ac:dyDescent="0.25">
      <c r="B71" t="s">
        <v>42</v>
      </c>
      <c r="F71" s="50">
        <v>2704411.682</v>
      </c>
      <c r="H71" s="243">
        <f>16853232</f>
        <v>16853232</v>
      </c>
      <c r="I71" s="242" t="s">
        <v>560</v>
      </c>
      <c r="J71" s="242"/>
      <c r="K71" s="242"/>
      <c r="L71" s="242"/>
    </row>
    <row r="72" spans="2:12" x14ac:dyDescent="0.25">
      <c r="C72" t="s">
        <v>44</v>
      </c>
      <c r="F72" s="50">
        <f>1.17*1000000</f>
        <v>1170000</v>
      </c>
      <c r="H72" s="243">
        <v>3</v>
      </c>
      <c r="I72" s="242" t="s">
        <v>564</v>
      </c>
      <c r="J72" s="242"/>
      <c r="K72" s="242"/>
      <c r="L72" s="242"/>
    </row>
    <row r="73" spans="2:12" x14ac:dyDescent="0.25">
      <c r="C73" t="s">
        <v>45</v>
      </c>
      <c r="F73" s="50">
        <f>1.3*1000000</f>
        <v>1300000</v>
      </c>
      <c r="H73" s="243">
        <f>H72*F71</f>
        <v>8113235.0460000001</v>
      </c>
      <c r="I73" s="242" t="s">
        <v>561</v>
      </c>
      <c r="J73" s="242"/>
      <c r="K73" s="242"/>
      <c r="L73" s="242"/>
    </row>
    <row r="74" spans="2:12" x14ac:dyDescent="0.25">
      <c r="C74" t="s">
        <v>46</v>
      </c>
      <c r="E74">
        <f>F74/F71</f>
        <v>8.7042960791351889E-2</v>
      </c>
      <c r="F74" s="50">
        <f>0.2354*1000000</f>
        <v>235400</v>
      </c>
      <c r="H74" s="243">
        <f>H71-H73</f>
        <v>8739996.9539999999</v>
      </c>
      <c r="I74" s="242" t="s">
        <v>562</v>
      </c>
      <c r="J74" s="242"/>
      <c r="K74" s="242"/>
      <c r="L74" s="242"/>
    </row>
    <row r="75" spans="2:12" x14ac:dyDescent="0.25">
      <c r="F75" s="50"/>
      <c r="H75" s="243">
        <v>500</v>
      </c>
      <c r="I75" s="242" t="s">
        <v>563</v>
      </c>
      <c r="J75" s="242"/>
      <c r="K75" s="242"/>
      <c r="L75" s="242"/>
    </row>
    <row r="76" spans="2:12" x14ac:dyDescent="0.25">
      <c r="F76" s="50"/>
      <c r="H76" s="244">
        <f>H74/H75/1000</f>
        <v>17.479993908000001</v>
      </c>
      <c r="I76" s="242"/>
      <c r="J76" s="242"/>
      <c r="K76" s="242"/>
      <c r="L76" s="242"/>
    </row>
    <row r="77" spans="2:12" x14ac:dyDescent="0.25">
      <c r="F77" s="50"/>
    </row>
    <row r="78" spans="2:12" x14ac:dyDescent="0.25">
      <c r="B78" t="s">
        <v>40</v>
      </c>
      <c r="F78" t="s">
        <v>8</v>
      </c>
      <c r="G78" t="s">
        <v>478</v>
      </c>
      <c r="H78" t="s">
        <v>41</v>
      </c>
    </row>
    <row r="79" spans="2:12" x14ac:dyDescent="0.25">
      <c r="B79" t="s">
        <v>39</v>
      </c>
      <c r="F79" s="49">
        <v>283.61836899999997</v>
      </c>
      <c r="G79" s="13">
        <f>F71</f>
        <v>2704411.682</v>
      </c>
      <c r="H79" s="51">
        <f>ROUND(F79*1000000/(F71*1000),3)</f>
        <v>0.105</v>
      </c>
    </row>
    <row r="80" spans="2:12" x14ac:dyDescent="0.25">
      <c r="C80" t="s">
        <v>44</v>
      </c>
      <c r="E80" s="3">
        <v>0.53400000000000003</v>
      </c>
      <c r="F80" s="49">
        <f>E80*F$79</f>
        <v>151.45220904600001</v>
      </c>
      <c r="G80" s="13">
        <f>F72</f>
        <v>1170000</v>
      </c>
      <c r="H80" s="51">
        <f>ROUND(F80*1000000/(F72*1000),3)</f>
        <v>0.129</v>
      </c>
    </row>
    <row r="81" spans="2:10" x14ac:dyDescent="0.25">
      <c r="C81" t="s">
        <v>45</v>
      </c>
      <c r="E81" s="3">
        <v>0.38400000000000001</v>
      </c>
      <c r="F81" s="49">
        <f>E81*F$79</f>
        <v>108.90945369599999</v>
      </c>
      <c r="G81" s="13">
        <f>F73</f>
        <v>1300000</v>
      </c>
      <c r="H81" s="51">
        <f>ROUND(F81*1000000/(F73*1000),3)</f>
        <v>8.4000000000000005E-2</v>
      </c>
      <c r="I81" s="108">
        <f>H80-H81</f>
        <v>4.4999999999999998E-2</v>
      </c>
      <c r="J81" t="s">
        <v>72</v>
      </c>
    </row>
    <row r="82" spans="2:10" x14ac:dyDescent="0.25">
      <c r="C82" t="s">
        <v>46</v>
      </c>
      <c r="E82" s="3">
        <v>7.1999999999999995E-2</v>
      </c>
      <c r="F82" s="49">
        <f>E82*F$79</f>
        <v>20.420522567999996</v>
      </c>
      <c r="G82" s="13">
        <f>F74</f>
        <v>235400</v>
      </c>
      <c r="H82" s="51">
        <f>ROUND(F82*1000000/(F74*1000),3)</f>
        <v>8.6999999999999994E-2</v>
      </c>
    </row>
    <row r="83" spans="2:10" x14ac:dyDescent="0.25">
      <c r="E83" s="2">
        <f>SUM(E80:E82)</f>
        <v>0.99</v>
      </c>
      <c r="F83" s="49"/>
      <c r="G83" s="48"/>
      <c r="H83" s="51"/>
    </row>
    <row r="85" spans="2:10" x14ac:dyDescent="0.25">
      <c r="B85" t="s">
        <v>476</v>
      </c>
      <c r="F85" s="49"/>
      <c r="G85" s="48"/>
      <c r="H85" s="51"/>
    </row>
    <row r="86" spans="2:10" x14ac:dyDescent="0.25">
      <c r="F86" s="49"/>
      <c r="G86" s="48"/>
      <c r="H86" s="51"/>
    </row>
    <row r="87" spans="2:10" x14ac:dyDescent="0.25">
      <c r="B87" t="s">
        <v>62</v>
      </c>
      <c r="C87" t="s">
        <v>63</v>
      </c>
      <c r="F87" s="49">
        <f>32.616175</f>
        <v>32.616174999999998</v>
      </c>
      <c r="G87" s="48"/>
      <c r="H87" s="51"/>
    </row>
    <row r="88" spans="2:10" x14ac:dyDescent="0.25">
      <c r="C88" t="s">
        <v>64</v>
      </c>
      <c r="F88" s="49">
        <f>18.68168</f>
        <v>18.68168</v>
      </c>
      <c r="G88" s="48"/>
      <c r="H88" s="51"/>
    </row>
    <row r="89" spans="2:10" x14ac:dyDescent="0.25">
      <c r="F89" s="49"/>
      <c r="G89" s="48"/>
      <c r="H89" s="51"/>
    </row>
    <row r="90" spans="2:10" x14ac:dyDescent="0.25">
      <c r="B90" t="s">
        <v>58</v>
      </c>
      <c r="F90" s="49"/>
      <c r="G90" s="48"/>
      <c r="H90" s="51"/>
    </row>
    <row r="91" spans="2:10" x14ac:dyDescent="0.25">
      <c r="C91" t="s">
        <v>12</v>
      </c>
      <c r="F91" s="49">
        <v>139.17941300000001</v>
      </c>
      <c r="H91" s="51">
        <f>F91*1000000/($F$71*1000)</f>
        <v>5.1463841073586959E-2</v>
      </c>
    </row>
    <row r="92" spans="2:10" x14ac:dyDescent="0.25">
      <c r="C92" t="s">
        <v>47</v>
      </c>
      <c r="F92" s="49">
        <f>16.853232</f>
        <v>16.853231999999998</v>
      </c>
      <c r="H92" s="51">
        <f>F92*1000000/($F$71*1000)</f>
        <v>6.2317553618672769E-3</v>
      </c>
    </row>
    <row r="93" spans="2:10" x14ac:dyDescent="0.25">
      <c r="C93" t="s">
        <v>67</v>
      </c>
      <c r="F93" s="49">
        <f>25.681814</f>
        <v>25.681813999999999</v>
      </c>
      <c r="H93" s="51">
        <f>F93*1000000/($F$71*1000)</f>
        <v>9.4962664785590133E-3</v>
      </c>
    </row>
    <row r="94" spans="2:10" x14ac:dyDescent="0.25">
      <c r="C94" t="s">
        <v>65</v>
      </c>
      <c r="F94" s="49">
        <f>F87*H108</f>
        <v>8.1450829580522335</v>
      </c>
      <c r="H94" s="51">
        <f>F94*1000000/($F$71*1000)</f>
        <v>3.011776281053734E-3</v>
      </c>
    </row>
    <row r="95" spans="2:10" x14ac:dyDescent="0.25">
      <c r="C95" t="s">
        <v>60</v>
      </c>
      <c r="F95" s="49">
        <f>18.68168*H108</f>
        <v>4.6652874960287427</v>
      </c>
      <c r="H95" s="51">
        <f>F95*1000000/($F$71*1000)</f>
        <v>1.7250655760289468E-3</v>
      </c>
    </row>
    <row r="96" spans="2:10" x14ac:dyDescent="0.25">
      <c r="C96" t="s">
        <v>69</v>
      </c>
      <c r="F96" s="50">
        <f>SUM(F91:F95)</f>
        <v>194.52482945408099</v>
      </c>
      <c r="H96" s="52">
        <f>SUM(H91:H95)</f>
        <v>7.1928704771095919E-2</v>
      </c>
    </row>
    <row r="97" spans="2:9" x14ac:dyDescent="0.25">
      <c r="B97" t="s">
        <v>59</v>
      </c>
      <c r="F97" s="50"/>
      <c r="H97" s="51"/>
    </row>
    <row r="98" spans="2:9" x14ac:dyDescent="0.25">
      <c r="C98" t="s">
        <v>48</v>
      </c>
      <c r="F98" s="49">
        <f>6.809401+13.387477</f>
        <v>20.196878000000002</v>
      </c>
      <c r="H98" s="51">
        <f>F98*1000000/($F$71*1000)</f>
        <v>7.4681225992426397E-3</v>
      </c>
    </row>
    <row r="99" spans="2:9" x14ac:dyDescent="0.25">
      <c r="C99" t="s">
        <v>49</v>
      </c>
      <c r="F99" s="49">
        <f>5.465315+22.169039</f>
        <v>27.634354000000002</v>
      </c>
      <c r="H99" s="51">
        <f>F99*1000000/($F$71*1000)</f>
        <v>1.0218249752405855E-2</v>
      </c>
    </row>
    <row r="100" spans="2:9" x14ac:dyDescent="0.25">
      <c r="C100" t="s">
        <v>66</v>
      </c>
      <c r="F100" s="49">
        <f>F87-F94</f>
        <v>24.471092041947763</v>
      </c>
      <c r="H100" s="51">
        <f>F100*1000000/($F$71*1000)</f>
        <v>9.0485824347018781E-3</v>
      </c>
    </row>
    <row r="101" spans="2:9" x14ac:dyDescent="0.25">
      <c r="C101" t="s">
        <v>61</v>
      </c>
      <c r="F101" s="49">
        <f>18.68168-F95</f>
        <v>14.016392503971257</v>
      </c>
      <c r="H101" s="51">
        <f>F101*1000000/($F$71*1000)</f>
        <v>5.1827880338121014E-3</v>
      </c>
    </row>
    <row r="102" spans="2:9" x14ac:dyDescent="0.25">
      <c r="C102" t="s">
        <v>70</v>
      </c>
      <c r="F102" s="50">
        <f>SUM(F98:F101)</f>
        <v>86.318716545919031</v>
      </c>
      <c r="H102" s="51">
        <f>F102*1000000/($F$71*1000)</f>
        <v>3.1917742820162479E-2</v>
      </c>
    </row>
    <row r="103" spans="2:9" x14ac:dyDescent="0.25">
      <c r="F103" s="50"/>
      <c r="G103" s="48"/>
      <c r="H103" s="51"/>
      <c r="I103" s="51">
        <f>SUM(H98:H102)</f>
        <v>6.3835485640324957E-2</v>
      </c>
    </row>
    <row r="104" spans="2:9" x14ac:dyDescent="0.25">
      <c r="C104" t="s">
        <v>68</v>
      </c>
      <c r="F104" s="49">
        <f>SUM(F91:F101)</f>
        <v>475.36837545408099</v>
      </c>
      <c r="G104" s="48"/>
      <c r="H104" s="51">
        <f>H96+H102</f>
        <v>0.1038464475912584</v>
      </c>
    </row>
    <row r="105" spans="2:9" x14ac:dyDescent="0.25">
      <c r="F105" s="50"/>
      <c r="G105" s="48"/>
    </row>
    <row r="106" spans="2:9" x14ac:dyDescent="0.25">
      <c r="F106" s="50"/>
      <c r="G106" s="48"/>
    </row>
    <row r="107" spans="2:9" x14ac:dyDescent="0.25">
      <c r="B107" t="s">
        <v>50</v>
      </c>
      <c r="F107" s="50"/>
      <c r="G107" s="48" t="s">
        <v>8</v>
      </c>
    </row>
    <row r="108" spans="2:9" x14ac:dyDescent="0.25">
      <c r="C108" t="s">
        <v>200</v>
      </c>
      <c r="F108" s="50"/>
      <c r="G108" s="48">
        <f>60.462671+20.456395+134.434574</f>
        <v>215.35363999999998</v>
      </c>
      <c r="H108" s="3">
        <f>G108/G111</f>
        <v>0.24972526539522905</v>
      </c>
    </row>
    <row r="109" spans="2:9" x14ac:dyDescent="0.25">
      <c r="C109" t="s">
        <v>51</v>
      </c>
      <c r="F109" s="50"/>
      <c r="G109" s="48">
        <f>252.561598+257.341532</f>
        <v>509.90312999999998</v>
      </c>
      <c r="H109" s="3">
        <f>G109/G111</f>
        <v>0.59128647402991652</v>
      </c>
    </row>
    <row r="110" spans="2:9" x14ac:dyDescent="0.25">
      <c r="C110" t="s">
        <v>52</v>
      </c>
      <c r="F110" s="50"/>
      <c r="G110" s="48">
        <f>45.144425+80.559413+4.710912+6.690723</f>
        <v>137.10547299999999</v>
      </c>
      <c r="H110" s="3">
        <f>G110/G111</f>
        <v>0.15898826057485452</v>
      </c>
    </row>
    <row r="111" spans="2:9" x14ac:dyDescent="0.25">
      <c r="C111" t="s">
        <v>53</v>
      </c>
      <c r="F111" s="50"/>
      <c r="G111" s="48">
        <f>SUM(G108:G110)</f>
        <v>862.36224299999992</v>
      </c>
    </row>
    <row r="112" spans="2:9" x14ac:dyDescent="0.25">
      <c r="C112" t="s">
        <v>54</v>
      </c>
      <c r="F112" s="50"/>
      <c r="G112" s="48">
        <f>206.005783</f>
        <v>206.00578300000001</v>
      </c>
    </row>
    <row r="113" spans="3:7" x14ac:dyDescent="0.25">
      <c r="C113" t="s">
        <v>57</v>
      </c>
      <c r="F113" s="50"/>
      <c r="G113" s="48">
        <f>G111+G112</f>
        <v>1068.3680259999999</v>
      </c>
    </row>
    <row r="114" spans="3:7" x14ac:dyDescent="0.25">
      <c r="C114" t="s">
        <v>55</v>
      </c>
      <c r="F114" s="50"/>
      <c r="G114" s="48">
        <v>-470.28221000000002</v>
      </c>
    </row>
    <row r="115" spans="3:7" x14ac:dyDescent="0.25">
      <c r="C115" t="s">
        <v>56</v>
      </c>
      <c r="F115" s="50"/>
      <c r="G115" s="48">
        <f>G113+G114</f>
        <v>598.0858159999998</v>
      </c>
    </row>
    <row r="116" spans="3:7" x14ac:dyDescent="0.25">
      <c r="F116" s="50"/>
      <c r="G116" s="48"/>
    </row>
    <row r="117" spans="3:7" x14ac:dyDescent="0.25">
      <c r="F117" s="50"/>
      <c r="G117" s="48"/>
    </row>
    <row r="118" spans="3:7" x14ac:dyDescent="0.25">
      <c r="F118" s="50"/>
      <c r="G118" s="48"/>
    </row>
    <row r="119" spans="3:7" x14ac:dyDescent="0.25">
      <c r="F119" s="50"/>
      <c r="G119" s="48"/>
    </row>
    <row r="120" spans="3:7" x14ac:dyDescent="0.25">
      <c r="F120" s="50"/>
      <c r="G120" s="48"/>
    </row>
    <row r="121" spans="3:7" x14ac:dyDescent="0.25">
      <c r="F121" s="50"/>
      <c r="G121" s="48"/>
    </row>
    <row r="122" spans="3:7" x14ac:dyDescent="0.25">
      <c r="F122" s="50"/>
      <c r="G122" s="48"/>
    </row>
    <row r="123" spans="3:7" x14ac:dyDescent="0.25">
      <c r="F123" s="50"/>
      <c r="G123" s="48"/>
    </row>
    <row r="124" spans="3:7" x14ac:dyDescent="0.25">
      <c r="F124" s="50"/>
      <c r="G124" s="48"/>
    </row>
    <row r="125" spans="3:7" x14ac:dyDescent="0.25">
      <c r="F125" s="50"/>
      <c r="G125" s="48"/>
    </row>
    <row r="126" spans="3:7" x14ac:dyDescent="0.25">
      <c r="F126" s="50"/>
      <c r="G126" s="48"/>
    </row>
    <row r="127" spans="3:7" x14ac:dyDescent="0.25">
      <c r="F127" s="50"/>
      <c r="G127" s="48"/>
    </row>
    <row r="128" spans="3:7" x14ac:dyDescent="0.25">
      <c r="F128" s="50"/>
      <c r="G128" s="48"/>
    </row>
    <row r="129" spans="2:7" x14ac:dyDescent="0.25">
      <c r="F129" s="50"/>
      <c r="G129" s="48"/>
    </row>
    <row r="130" spans="2:7" x14ac:dyDescent="0.25">
      <c r="F130" s="50"/>
      <c r="G130" s="48"/>
    </row>
    <row r="131" spans="2:7" x14ac:dyDescent="0.25">
      <c r="B131" t="s">
        <v>43</v>
      </c>
      <c r="F131" s="50"/>
      <c r="G131" s="48"/>
    </row>
  </sheetData>
  <hyperlinks>
    <hyperlink ref="C18" r:id="rId1"/>
    <hyperlink ref="B1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misc tables</vt:lpstr>
      <vt:lpstr>Susitna rate analysis</vt:lpstr>
      <vt:lpstr>tornado</vt:lpstr>
      <vt:lpstr>graphs</vt:lpstr>
      <vt:lpstr>capital replacements</vt:lpstr>
      <vt:lpstr>Gas price projections</vt:lpstr>
      <vt:lpstr>AEO2013 projections</vt:lpstr>
      <vt:lpstr>Chugach Electric data</vt:lpstr>
      <vt:lpstr>county population</vt:lpstr>
      <vt:lpstr>AK Permanent Fund data</vt:lpstr>
    </vt:vector>
  </TitlesOfParts>
  <Company>Institute of Social and Economic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Sgcolt</dc:creator>
  <cp:lastModifiedBy>Christopher Start</cp:lastModifiedBy>
  <dcterms:created xsi:type="dcterms:W3CDTF">2012-03-08T23:08:46Z</dcterms:created>
  <dcterms:modified xsi:type="dcterms:W3CDTF">2014-08-04T18:19:12Z</dcterms:modified>
</cp:coreProperties>
</file>