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4040" windowHeight="8550"/>
  </bookViews>
  <sheets>
    <sheet name="Read First" sheetId="5" r:id="rId1"/>
    <sheet name="Info from UAF Project Manager" sheetId="6" r:id="rId2"/>
    <sheet name="Assumptions and Raw Data" sheetId="4" r:id="rId3"/>
    <sheet name="Sensitivity &amp; B-C Analysis" sheetId="3" r:id="rId4"/>
    <sheet name="Goal Seek and Cost Percentage" sheetId="8" r:id="rId5"/>
  </sheets>
  <calcPr calcId="145621"/>
</workbook>
</file>

<file path=xl/calcChain.xml><?xml version="1.0" encoding="utf-8"?>
<calcChain xmlns="http://schemas.openxmlformats.org/spreadsheetml/2006/main">
  <c r="R66" i="8" l="1"/>
  <c r="R67" i="8"/>
  <c r="R68" i="8"/>
  <c r="R65" i="8"/>
  <c r="Q63" i="8"/>
  <c r="Q56" i="8"/>
  <c r="Q57" i="8"/>
  <c r="Q58" i="8"/>
  <c r="Q59" i="8"/>
  <c r="Q60" i="8"/>
  <c r="Q61" i="8"/>
  <c r="Q62" i="8"/>
  <c r="Q55" i="8"/>
  <c r="P68" i="8"/>
  <c r="P63" i="8"/>
  <c r="G69" i="8"/>
  <c r="H69" i="8"/>
  <c r="I69" i="8"/>
  <c r="J69" i="8"/>
  <c r="K69" i="8"/>
  <c r="L69" i="8"/>
  <c r="M69" i="8"/>
  <c r="N69" i="8"/>
  <c r="O69" i="8"/>
  <c r="F69" i="8"/>
  <c r="P56" i="8"/>
  <c r="P57" i="8"/>
  <c r="P58" i="8"/>
  <c r="P59" i="8"/>
  <c r="P60" i="8"/>
  <c r="P61" i="8"/>
  <c r="P62" i="8"/>
  <c r="F55" i="8"/>
  <c r="F56" i="8"/>
  <c r="F57" i="8"/>
  <c r="F58" i="8"/>
  <c r="F59" i="8"/>
  <c r="F60" i="8"/>
  <c r="F61" i="8"/>
  <c r="F62" i="8"/>
  <c r="D55" i="8"/>
  <c r="D56" i="8"/>
  <c r="D57" i="8"/>
  <c r="D58" i="8"/>
  <c r="D59" i="8"/>
  <c r="D60" i="8"/>
  <c r="D61" i="8"/>
  <c r="D62" i="8"/>
  <c r="P55" i="8"/>
  <c r="F67" i="8"/>
  <c r="F66" i="8"/>
  <c r="G66" i="8" s="1"/>
  <c r="F65" i="8"/>
  <c r="G67" i="8"/>
  <c r="H67" i="8" s="1"/>
  <c r="I67" i="8" s="1"/>
  <c r="J67" i="8" s="1"/>
  <c r="K67" i="8" s="1"/>
  <c r="L67" i="8" s="1"/>
  <c r="M67" i="8" s="1"/>
  <c r="N67" i="8" s="1"/>
  <c r="O67" i="8" s="1"/>
  <c r="G22" i="8"/>
  <c r="G23" i="8"/>
  <c r="G24" i="8"/>
  <c r="G25" i="8"/>
  <c r="G26" i="8"/>
  <c r="G21" i="8"/>
  <c r="G33" i="8"/>
  <c r="G34" i="8"/>
  <c r="G35" i="8"/>
  <c r="G36" i="8"/>
  <c r="G37" i="8"/>
  <c r="G32" i="8"/>
  <c r="W34" i="8"/>
  <c r="W35" i="8"/>
  <c r="W36" i="8"/>
  <c r="W37" i="8"/>
  <c r="W38" i="8"/>
  <c r="W33" i="8"/>
  <c r="W23" i="8"/>
  <c r="W24" i="8"/>
  <c r="W25" i="8"/>
  <c r="W26" i="8"/>
  <c r="W27" i="8"/>
  <c r="W22" i="8"/>
  <c r="T23" i="8"/>
  <c r="T24" i="8"/>
  <c r="T25" i="8"/>
  <c r="T26" i="8"/>
  <c r="T27" i="8"/>
  <c r="T22" i="8"/>
  <c r="I7" i="8"/>
  <c r="I8" i="8"/>
  <c r="I9" i="8"/>
  <c r="I10" i="8"/>
  <c r="I11" i="8"/>
  <c r="I12" i="8"/>
  <c r="G8" i="8"/>
  <c r="G9" i="8"/>
  <c r="G10" i="8"/>
  <c r="G11" i="8"/>
  <c r="G12" i="8"/>
  <c r="G7" i="8"/>
  <c r="U8" i="8"/>
  <c r="U9" i="8"/>
  <c r="U10" i="8"/>
  <c r="U11" i="8"/>
  <c r="U12" i="8"/>
  <c r="U7" i="8"/>
  <c r="Q32" i="3"/>
  <c r="Q28" i="3"/>
  <c r="Q27" i="3"/>
  <c r="F14" i="3"/>
  <c r="P67" i="8" l="1"/>
  <c r="H66" i="8"/>
  <c r="I66" i="8" s="1"/>
  <c r="J66" i="8" s="1"/>
  <c r="K66" i="8" s="1"/>
  <c r="L66" i="8" s="1"/>
  <c r="M66" i="8" s="1"/>
  <c r="N66" i="8" s="1"/>
  <c r="O66" i="8" s="1"/>
  <c r="P66" i="8"/>
  <c r="G65" i="8"/>
  <c r="L7" i="8"/>
  <c r="L12" i="8"/>
  <c r="L8" i="8"/>
  <c r="H65" i="8" l="1"/>
  <c r="R10" i="8"/>
  <c r="T10" i="8" s="1"/>
  <c r="R11" i="8"/>
  <c r="T11" i="8" s="1"/>
  <c r="R8" i="8"/>
  <c r="T8" i="8" s="1"/>
  <c r="R12" i="8"/>
  <c r="T12" i="8" s="1"/>
  <c r="R9" i="8"/>
  <c r="T9" i="8" s="1"/>
  <c r="R7" i="8"/>
  <c r="T7" i="8" s="1"/>
  <c r="E21" i="8"/>
  <c r="E22" i="8"/>
  <c r="E23" i="8"/>
  <c r="E24" i="8"/>
  <c r="E25" i="8"/>
  <c r="E26" i="8"/>
  <c r="I65" i="8" l="1"/>
  <c r="E20" i="3"/>
  <c r="E36" i="3"/>
  <c r="E40" i="3" s="1"/>
  <c r="E48" i="3" s="1"/>
  <c r="E60" i="3" s="1"/>
  <c r="E66" i="3" s="1"/>
  <c r="J65" i="8" l="1"/>
  <c r="E21" i="3"/>
  <c r="E44" i="3" s="1"/>
  <c r="C65" i="4"/>
  <c r="E8" i="3" s="1"/>
  <c r="F10" i="4"/>
  <c r="F24" i="4"/>
  <c r="F23" i="4"/>
  <c r="F22" i="4"/>
  <c r="O30" i="3"/>
  <c r="I33" i="4"/>
  <c r="I34" i="4"/>
  <c r="I35" i="4"/>
  <c r="D54" i="3" s="1"/>
  <c r="I32" i="4"/>
  <c r="F37" i="3"/>
  <c r="F41" i="3" s="1"/>
  <c r="F49" i="3" s="1"/>
  <c r="F62" i="3" s="1"/>
  <c r="G37" i="3"/>
  <c r="H37" i="3"/>
  <c r="H41" i="3" s="1"/>
  <c r="H49" i="3" s="1"/>
  <c r="H62" i="3" s="1"/>
  <c r="I37" i="3"/>
  <c r="J37" i="3"/>
  <c r="J41" i="3" s="1"/>
  <c r="J49" i="3" s="1"/>
  <c r="J62" i="3" s="1"/>
  <c r="K37" i="3"/>
  <c r="K41" i="3" s="1"/>
  <c r="K49" i="3" s="1"/>
  <c r="K62" i="3" s="1"/>
  <c r="L37" i="3"/>
  <c r="L41" i="3" s="1"/>
  <c r="L49" i="3" s="1"/>
  <c r="L62" i="3" s="1"/>
  <c r="M37" i="3"/>
  <c r="N37" i="3"/>
  <c r="N41" i="3" s="1"/>
  <c r="N49" i="3" s="1"/>
  <c r="N62" i="3" s="1"/>
  <c r="E37" i="3"/>
  <c r="F36" i="3"/>
  <c r="G36" i="3"/>
  <c r="G40" i="3" s="1"/>
  <c r="G48" i="3" s="1"/>
  <c r="G60" i="3" s="1"/>
  <c r="H36" i="3"/>
  <c r="I36" i="3"/>
  <c r="I40" i="3" s="1"/>
  <c r="I48" i="3" s="1"/>
  <c r="I60" i="3" s="1"/>
  <c r="J36" i="3"/>
  <c r="K36" i="3"/>
  <c r="K40" i="3" s="1"/>
  <c r="K48" i="3" s="1"/>
  <c r="K60" i="3" s="1"/>
  <c r="L36" i="3"/>
  <c r="M36" i="3"/>
  <c r="M40" i="3" s="1"/>
  <c r="M48" i="3" s="1"/>
  <c r="M60" i="3" s="1"/>
  <c r="N36" i="3"/>
  <c r="N40" i="3" s="1"/>
  <c r="N48" i="3" s="1"/>
  <c r="N60" i="3" s="1"/>
  <c r="K65" i="8" l="1"/>
  <c r="M45" i="3"/>
  <c r="I45" i="3"/>
  <c r="E45" i="3"/>
  <c r="G45" i="3"/>
  <c r="L44" i="3"/>
  <c r="J44" i="3"/>
  <c r="H44" i="3"/>
  <c r="F44" i="3"/>
  <c r="F19" i="4"/>
  <c r="G10" i="4" s="1"/>
  <c r="J34" i="4"/>
  <c r="I38" i="4"/>
  <c r="J33" i="4"/>
  <c r="J35" i="4"/>
  <c r="F26" i="4"/>
  <c r="G24" i="4" s="1"/>
  <c r="N44" i="3"/>
  <c r="L69" i="3"/>
  <c r="L70" i="3"/>
  <c r="H69" i="3"/>
  <c r="H70" i="3"/>
  <c r="M41" i="3"/>
  <c r="M49" i="3" s="1"/>
  <c r="M62" i="3" s="1"/>
  <c r="N63" i="3"/>
  <c r="J63" i="3"/>
  <c r="F63" i="3"/>
  <c r="K63" i="3"/>
  <c r="M61" i="3"/>
  <c r="I61" i="3"/>
  <c r="N61" i="3"/>
  <c r="K61" i="3"/>
  <c r="G61" i="3"/>
  <c r="L63" i="3"/>
  <c r="H63" i="3"/>
  <c r="F40" i="3"/>
  <c r="F48" i="3" s="1"/>
  <c r="F60" i="3" s="1"/>
  <c r="J40" i="3"/>
  <c r="J48" i="3" s="1"/>
  <c r="J60" i="3" s="1"/>
  <c r="M44" i="3"/>
  <c r="L40" i="3"/>
  <c r="L48" i="3" s="1"/>
  <c r="L60" i="3" s="1"/>
  <c r="H40" i="3"/>
  <c r="H48" i="3" s="1"/>
  <c r="H60" i="3" s="1"/>
  <c r="E41" i="3"/>
  <c r="E49" i="3" s="1"/>
  <c r="E62" i="3" s="1"/>
  <c r="I44" i="3"/>
  <c r="I41" i="3"/>
  <c r="I49" i="3" s="1"/>
  <c r="I62" i="3" s="1"/>
  <c r="N45" i="3"/>
  <c r="J45" i="3"/>
  <c r="F45" i="3"/>
  <c r="K45" i="3"/>
  <c r="G41" i="3"/>
  <c r="G49" i="3" s="1"/>
  <c r="G62" i="3" s="1"/>
  <c r="K44" i="3"/>
  <c r="G44" i="3"/>
  <c r="L45" i="3"/>
  <c r="H45" i="3"/>
  <c r="L65" i="8" l="1"/>
  <c r="G23" i="4"/>
  <c r="G22" i="4"/>
  <c r="G26" i="4" s="1"/>
  <c r="E27" i="3"/>
  <c r="O27" i="3" s="1"/>
  <c r="G12" i="4"/>
  <c r="G9" i="4"/>
  <c r="G7" i="4"/>
  <c r="G13" i="4"/>
  <c r="G11" i="4"/>
  <c r="G8" i="4"/>
  <c r="G6" i="4"/>
  <c r="F27" i="4"/>
  <c r="E28" i="3"/>
  <c r="F28" i="3" s="1"/>
  <c r="G28" i="3" s="1"/>
  <c r="H28" i="3" s="1"/>
  <c r="I28" i="3" s="1"/>
  <c r="J28" i="3" s="1"/>
  <c r="K28" i="3" s="1"/>
  <c r="L28" i="3" s="1"/>
  <c r="M28" i="3" s="1"/>
  <c r="N28" i="3" s="1"/>
  <c r="N32" i="3" s="1"/>
  <c r="J38" i="4"/>
  <c r="M69" i="3"/>
  <c r="M70" i="3"/>
  <c r="F69" i="3"/>
  <c r="F70" i="3"/>
  <c r="I66" i="3"/>
  <c r="I67" i="3"/>
  <c r="K69" i="3"/>
  <c r="K70" i="3"/>
  <c r="N66" i="3"/>
  <c r="N67" i="3"/>
  <c r="K66" i="3"/>
  <c r="K67" i="3"/>
  <c r="M66" i="3"/>
  <c r="M67" i="3"/>
  <c r="N69" i="3"/>
  <c r="N70" i="3"/>
  <c r="G66" i="3"/>
  <c r="G67" i="3"/>
  <c r="M63" i="3"/>
  <c r="J69" i="3"/>
  <c r="J70" i="3"/>
  <c r="I63" i="3"/>
  <c r="E61" i="3"/>
  <c r="E63" i="3"/>
  <c r="J61" i="3"/>
  <c r="L61" i="3"/>
  <c r="G63" i="3"/>
  <c r="F61" i="3"/>
  <c r="H61" i="3"/>
  <c r="M65" i="8" l="1"/>
  <c r="H12" i="4"/>
  <c r="H8" i="4"/>
  <c r="H13" i="4"/>
  <c r="H9" i="4"/>
  <c r="H11" i="4"/>
  <c r="H7" i="4"/>
  <c r="H6" i="4"/>
  <c r="H10" i="4"/>
  <c r="H23" i="4"/>
  <c r="H24" i="4"/>
  <c r="H22" i="4"/>
  <c r="H26" i="4" s="1"/>
  <c r="G19" i="4"/>
  <c r="L32" i="3"/>
  <c r="E32" i="3"/>
  <c r="M32" i="3"/>
  <c r="I32" i="3"/>
  <c r="O28" i="3"/>
  <c r="K32" i="3"/>
  <c r="H32" i="3"/>
  <c r="G32" i="3"/>
  <c r="F32" i="3"/>
  <c r="J32" i="3"/>
  <c r="F9" i="3"/>
  <c r="E54" i="3" s="1"/>
  <c r="F54" i="3" s="1"/>
  <c r="G54" i="3" s="1"/>
  <c r="H54" i="3" s="1"/>
  <c r="I54" i="3" s="1"/>
  <c r="J54" i="3" s="1"/>
  <c r="K54" i="3" s="1"/>
  <c r="L54" i="3" s="1"/>
  <c r="M54" i="3" s="1"/>
  <c r="N54" i="3" s="1"/>
  <c r="N71" i="3" s="1"/>
  <c r="H66" i="3"/>
  <c r="H67" i="3"/>
  <c r="G69" i="3"/>
  <c r="G70" i="3"/>
  <c r="J66" i="3"/>
  <c r="J67" i="3"/>
  <c r="E67" i="3"/>
  <c r="L66" i="3"/>
  <c r="L67" i="3"/>
  <c r="E69" i="3"/>
  <c r="E70" i="3"/>
  <c r="I69" i="3"/>
  <c r="I70" i="3"/>
  <c r="F66" i="3"/>
  <c r="F67" i="3"/>
  <c r="N65" i="8" l="1"/>
  <c r="H19" i="4"/>
  <c r="H27" i="4" s="1"/>
  <c r="F68" i="3"/>
  <c r="O32" i="3"/>
  <c r="J71" i="3"/>
  <c r="I68" i="3"/>
  <c r="L68" i="3"/>
  <c r="J68" i="3"/>
  <c r="F71" i="3"/>
  <c r="E71" i="3"/>
  <c r="L71" i="3"/>
  <c r="G68" i="3"/>
  <c r="K68" i="3"/>
  <c r="N68" i="3"/>
  <c r="G71" i="3"/>
  <c r="E68" i="3"/>
  <c r="K71" i="3"/>
  <c r="M68" i="3"/>
  <c r="M71" i="3"/>
  <c r="H71" i="3"/>
  <c r="I71" i="3"/>
  <c r="H68" i="3"/>
  <c r="O66" i="3"/>
  <c r="O69" i="3"/>
  <c r="O67" i="3"/>
  <c r="D76" i="3" s="1"/>
  <c r="O70" i="3"/>
  <c r="O65" i="8" l="1"/>
  <c r="P65" i="8" s="1"/>
  <c r="E33" i="8"/>
  <c r="E8" i="8"/>
  <c r="D78" i="3"/>
  <c r="D79" i="3"/>
  <c r="D75" i="3"/>
  <c r="O68" i="3"/>
  <c r="D77" i="3" s="1"/>
  <c r="O71" i="3"/>
  <c r="D80" i="3" s="1"/>
  <c r="P69" i="8" l="1"/>
  <c r="E34" i="8"/>
  <c r="E9" i="8"/>
  <c r="E11" i="8"/>
  <c r="E36" i="8"/>
  <c r="E37" i="8"/>
  <c r="E12" i="8"/>
  <c r="E35" i="8"/>
  <c r="E10" i="8"/>
  <c r="E7" i="8"/>
  <c r="E32" i="8"/>
  <c r="S59" i="8" l="1"/>
  <c r="S65" i="8"/>
  <c r="S55" i="8"/>
  <c r="S56" i="8"/>
  <c r="S60" i="8"/>
  <c r="S66" i="8"/>
  <c r="S57" i="8"/>
  <c r="S61" i="8"/>
  <c r="S67" i="8"/>
  <c r="S58" i="8"/>
  <c r="S62" i="8"/>
  <c r="S68" i="8"/>
</calcChain>
</file>

<file path=xl/comments1.xml><?xml version="1.0" encoding="utf-8"?>
<comments xmlns="http://schemas.openxmlformats.org/spreadsheetml/2006/main">
  <authors>
    <author>Sohrab Pathan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capital cost is one time cost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do not delete this data b/c we used this data in 'Sensitivity and B-C Analysis' work sheet.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this cost is for ten years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do not delete this data b/c we used this data in 'Sensitivity and B-C Analysis' work sheet.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used as 2010 price in price projection in 'Sensitivity and B-C Analysis' work sheet.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do not delete this data b/c we used this data in 'Sensitivity and B-C Analysis' work sheet.</t>
        </r>
      </text>
    </comment>
    <comment ref="C65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do not delete this data b/c we used this data in 'Sensitivity and B-C Analysis' work sheet.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http://www.bae.ncsu.edu/programs/extension/manure/awm/program/barker/a&amp;pmp&amp;c/conversion.htm</t>
        </r>
      </text>
    </comment>
    <comment ref="E75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do not delete this data b/c we used this data in 'Sensitivity and B-C Analysis' work sheet.</t>
        </r>
      </text>
    </comment>
    <comment ref="E76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do not delete this data b/c we used this data in 'Sensitivity and B-C Analysis' work sheet.</t>
        </r>
      </text>
    </comment>
  </commentList>
</comments>
</file>

<file path=xl/comments2.xml><?xml version="1.0" encoding="utf-8"?>
<comments xmlns="http://schemas.openxmlformats.org/spreadsheetml/2006/main">
  <authors>
    <author>Sohrab Pathan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came from '% increase' column of 'Propane Price ($/gallon)' section of 'Assumption and Raw Data' worksheet.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energy content for pure methane is 1,000 BTU / cu ft, but biogas typically has 60% methane.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we are assuming that food waste does not cost anything.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Medium projection with MA3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High projection with MA3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using averege percentage increase of price from 2007 to 2010</t>
        </r>
      </text>
    </comment>
  </commentList>
</comments>
</file>

<file path=xl/comments3.xml><?xml version="1.0" encoding="utf-8"?>
<comments xmlns="http://schemas.openxmlformats.org/spreadsheetml/2006/main">
  <authors>
    <author>Sohrab Pathan</author>
    <author>fay</author>
  </authors>
  <commentList>
    <comment ref="G6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To get the B-C ratio 1, PV of total cost has to be equal to the following values which are lot lower than $10,045</t>
        </r>
      </text>
    </comment>
    <comment ref="I7" authorId="1">
      <text>
        <r>
          <rPr>
            <b/>
            <sz val="9"/>
            <color indexed="81"/>
            <rFont val="Tahoma"/>
            <family val="2"/>
          </rPr>
          <t>fay:</t>
        </r>
        <r>
          <rPr>
            <sz val="9"/>
            <color indexed="81"/>
            <rFont val="Tahoma"/>
            <family val="2"/>
          </rPr>
          <t xml:space="preserve">
reformat to remove decimal points.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To get the B-C ratio 1, with PV of labor and O&amp;M cost constant at $8,256, PV of capital cost has to be equal to the following values which are lot lower than $1,788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Sohrab Pathan:</t>
        </r>
        <r>
          <rPr>
            <sz val="9"/>
            <color indexed="81"/>
            <rFont val="Tahoma"/>
            <family val="2"/>
          </rPr>
          <t xml:space="preserve">
To get the B-C ratio 1, with PV of capital cost constant at $1,788, PV of labor and O&amp;M cost has to be equal to the following values which are lot lower than $8,256</t>
        </r>
      </text>
    </comment>
  </commentList>
</comments>
</file>

<file path=xl/sharedStrings.xml><?xml version="1.0" encoding="utf-8"?>
<sst xmlns="http://schemas.openxmlformats.org/spreadsheetml/2006/main" count="237" uniqueCount="129">
  <si>
    <t>Costs:</t>
  </si>
  <si>
    <t>Capital:</t>
  </si>
  <si>
    <t>Tank</t>
  </si>
  <si>
    <t>Assumptions</t>
  </si>
  <si>
    <t>1000L, purchased new in Fairbanks, Greer</t>
  </si>
  <si>
    <t>Tank Steel Frame</t>
  </si>
  <si>
    <t>optional, purchased in Fairbanks</t>
  </si>
  <si>
    <t>Additional Hardware</t>
  </si>
  <si>
    <t>piping, fittings, misc.</t>
  </si>
  <si>
    <t>Insulation</t>
  </si>
  <si>
    <t>need to insulate space</t>
  </si>
  <si>
    <t>Research / Consultation</t>
  </si>
  <si>
    <t>5 days or 1 week or 40 hrs @ $15 / hr</t>
  </si>
  <si>
    <t>leader of the project himself may act as a consultant or he can hire an outside consultant</t>
  </si>
  <si>
    <t>Shipping</t>
  </si>
  <si>
    <t>Uhaul, for local transportation</t>
  </si>
  <si>
    <t>Psycrophiles</t>
  </si>
  <si>
    <t>assuming seeding / easy collection from neighborhood without any transportation or labor or any other cost</t>
  </si>
  <si>
    <t>Tools</t>
  </si>
  <si>
    <t>pipe wrench, disposal, pH paper, etc.</t>
  </si>
  <si>
    <t>Assumptions:</t>
  </si>
  <si>
    <t>Feed</t>
  </si>
  <si>
    <t>collecting, processing food waste, feeding vessel</t>
  </si>
  <si>
    <t>Cleaning</t>
  </si>
  <si>
    <t>testing, stirring, and cleaning</t>
  </si>
  <si>
    <t>Maintenance</t>
  </si>
  <si>
    <t>40 hrs * $15/hr</t>
  </si>
  <si>
    <t>Cordova - Psycrophiles</t>
  </si>
  <si>
    <t>15 C</t>
  </si>
  <si>
    <t>cubic ft</t>
  </si>
  <si>
    <t>Total Capital Cost</t>
  </si>
  <si>
    <t>Total Labor and O&amp;M Cost</t>
  </si>
  <si>
    <t>Other Costs</t>
  </si>
  <si>
    <t>Biogas production</t>
  </si>
  <si>
    <t>In 15 C</t>
  </si>
  <si>
    <t>In 25 C</t>
  </si>
  <si>
    <t>Cost</t>
  </si>
  <si>
    <t>Biogas Production in Cubic Feet</t>
  </si>
  <si>
    <t>=</t>
  </si>
  <si>
    <t>1 Liter</t>
  </si>
  <si>
    <t>1 gallon</t>
  </si>
  <si>
    <t>BTU</t>
  </si>
  <si>
    <t>Heat value for diesel</t>
  </si>
  <si>
    <t>Heat value for propane</t>
  </si>
  <si>
    <t>Fuel Price Projection</t>
  </si>
  <si>
    <t>gallon</t>
  </si>
  <si>
    <t>Propane Price ($/gallon)</t>
  </si>
  <si>
    <t>Average</t>
  </si>
  <si>
    <t>% increase</t>
  </si>
  <si>
    <t>Average percentage increase of propane ($/gallon) price is</t>
  </si>
  <si>
    <t>Propane ($ per gallon)</t>
  </si>
  <si>
    <t>Diesel (gallon)</t>
  </si>
  <si>
    <t>Propane (gallon)</t>
  </si>
  <si>
    <t>25 C</t>
  </si>
  <si>
    <t>Heat value for methane</t>
  </si>
  <si>
    <t xml:space="preserve"> 1 cu ft </t>
  </si>
  <si>
    <t>Biogas in BTU</t>
  </si>
  <si>
    <t xml:space="preserve">Propane </t>
  </si>
  <si>
    <t>Capital Cost ($ per year)</t>
  </si>
  <si>
    <t>Labor and O&amp;M Cost ($ per year)</t>
  </si>
  <si>
    <t>Fuel Cost ($ per year)</t>
  </si>
  <si>
    <t>Total Cost ($ per year)</t>
  </si>
  <si>
    <t>Benefit-Cost Analysis</t>
  </si>
  <si>
    <t>B/C Ratio</t>
  </si>
  <si>
    <t>Displaced Fuel Cost</t>
  </si>
  <si>
    <t>Diesel ($ per gallon) - medium projection</t>
  </si>
  <si>
    <t>Diesel ($ per gallon) - high projection</t>
  </si>
  <si>
    <t>Diesel - medium projection</t>
  </si>
  <si>
    <t>Diesel - high projection</t>
  </si>
  <si>
    <t>Average of % increase</t>
  </si>
  <si>
    <t>Calculations:</t>
  </si>
  <si>
    <t>years</t>
  </si>
  <si>
    <t>Discount rate</t>
  </si>
  <si>
    <t>Project lifetime</t>
  </si>
  <si>
    <t>Displaced Fuel Quantity</t>
  </si>
  <si>
    <t>Average =</t>
  </si>
  <si>
    <t>Year</t>
  </si>
  <si>
    <t>Percent Change from Previous Year</t>
  </si>
  <si>
    <t>Anchorage CPI</t>
  </si>
  <si>
    <t xml:space="preserve">[ (1.5 hrs/week*52 weeks *$7.75/hr) for 1 year or 52 weeks] </t>
  </si>
  <si>
    <t xml:space="preserve">[ (0.5 hrs/week*52 weeks *$7.75/hr) for 1 year or 52 weeks] </t>
  </si>
  <si>
    <t>(4 hrs * 2) * $7.75/hr</t>
  </si>
  <si>
    <t xml:space="preserve">1.5 hrs a week @ $7.75/hr </t>
  </si>
  <si>
    <t xml:space="preserve">0.5 hrs a week @ $7.75/hr </t>
  </si>
  <si>
    <t>4 hrs per tank (assuming only 1 tank), twice a year, @ $7.75/hr</t>
  </si>
  <si>
    <t>March (Q1)</t>
  </si>
  <si>
    <t>June (Q2)</t>
  </si>
  <si>
    <t>Sept (Q3)</t>
  </si>
  <si>
    <t>Dec (Q4)</t>
  </si>
  <si>
    <t xml:space="preserve">Anchorage average percent increase 
of CPI for last 20 years (from 1991 to 2010) </t>
  </si>
  <si>
    <t xml:space="preserve">Prepared for Denali Commission </t>
  </si>
  <si>
    <t>gal</t>
  </si>
  <si>
    <t>L</t>
  </si>
  <si>
    <t>Diesel - medium projection ($)</t>
  </si>
  <si>
    <t>Diesel - high projection ($)</t>
  </si>
  <si>
    <t>Propane ($)</t>
  </si>
  <si>
    <t>liters per week at 15 C</t>
  </si>
  <si>
    <t xml:space="preserve">liters per week at 25 C </t>
  </si>
  <si>
    <t>Labor (operation &amp; maintenance):</t>
  </si>
  <si>
    <t>Biogas Production in Liters</t>
  </si>
  <si>
    <t>Biogas Production in Gallons</t>
  </si>
  <si>
    <t>Average heating efficiency</t>
  </si>
  <si>
    <t>gallons</t>
  </si>
  <si>
    <t>General physical unit conversion factors</t>
  </si>
  <si>
    <t>General physical unit conversions</t>
  </si>
  <si>
    <t>Heat valules in British Thermal Units</t>
  </si>
  <si>
    <t>Percentage of Total Capital Costs</t>
  </si>
  <si>
    <t>Percentage of Total Project Costs</t>
  </si>
  <si>
    <t>Percentage of Total Labor and O&amp;M Costs</t>
  </si>
  <si>
    <t>Fuel Type</t>
  </si>
  <si>
    <t>B/C Original</t>
  </si>
  <si>
    <t>B/C Goal</t>
  </si>
  <si>
    <t>Cordova - Psychrophiles Bio-Digester</t>
  </si>
  <si>
    <t>The cost was based on his work experience on the project.</t>
  </si>
  <si>
    <t>Casey Pape of UAF was the project manager and Cordova Electric liaison.</t>
  </si>
  <si>
    <t>PV of Cost</t>
  </si>
  <si>
    <t>PV of Benefit</t>
  </si>
  <si>
    <t>PV of Total Cost</t>
  </si>
  <si>
    <t>PV of Capital Cost</t>
  </si>
  <si>
    <t>PV of Labor and O&amp;M</t>
  </si>
  <si>
    <t>Goal Seek Calculation</t>
  </si>
  <si>
    <t>PV of O&amp;M Cost</t>
  </si>
  <si>
    <t>PV of Capital Cost - Goal</t>
  </si>
  <si>
    <t>PV of O&amp;M Cost - Goal</t>
  </si>
  <si>
    <t>PV of Cost - Goal</t>
  </si>
  <si>
    <t>B/C - Goal</t>
  </si>
  <si>
    <t>% of Total Cost</t>
  </si>
  <si>
    <t>% of Capital Cost</t>
  </si>
  <si>
    <t>% of Labor and O&amp;M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</si>
</sst>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  <numFmt numFmtId="166" formatCode="_(* #,##0_);_(* \(#,##0\);_(* &quot;-&quot;??_);_(@_)"/>
    <numFmt numFmtId="167" formatCode="0.000"/>
    <numFmt numFmtId="168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70C0"/>
      <name val="Calibri"/>
      <family val="2"/>
      <scheme val="minor"/>
    </font>
    <font>
      <sz val="10"/>
      <name val="MS Sans Serif"/>
      <family val="2"/>
    </font>
    <font>
      <b/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24" fillId="0" borderId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6" borderId="0" applyNumberFormat="0" applyBorder="0" applyAlignment="0" applyProtection="0"/>
    <xf numFmtId="0" fontId="29" fillId="40" borderId="0" applyNumberFormat="0" applyBorder="0" applyAlignment="0" applyProtection="0"/>
    <xf numFmtId="0" fontId="30" fillId="57" borderId="22" applyNumberFormat="0" applyAlignment="0" applyProtection="0"/>
    <xf numFmtId="0" fontId="31" fillId="58" borderId="23" applyNumberFormat="0" applyAlignment="0" applyProtection="0"/>
    <xf numFmtId="43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7" fillId="44" borderId="22" applyNumberFormat="0" applyAlignment="0" applyProtection="0"/>
    <xf numFmtId="0" fontId="38" fillId="0" borderId="27" applyNumberFormat="0" applyFill="0" applyAlignment="0" applyProtection="0"/>
    <xf numFmtId="0" fontId="39" fillId="59" borderId="0" applyNumberFormat="0" applyBorder="0" applyAlignment="0" applyProtection="0"/>
    <xf numFmtId="0" fontId="27" fillId="60" borderId="28" applyNumberFormat="0" applyFont="0" applyAlignment="0" applyProtection="0"/>
    <xf numFmtId="0" fontId="40" fillId="57" borderId="29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30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16" applyNumberFormat="0" applyAlignment="0" applyProtection="0"/>
    <xf numFmtId="0" fontId="18" fillId="12" borderId="17" applyNumberFormat="0" applyAlignment="0" applyProtection="0"/>
    <xf numFmtId="0" fontId="19" fillId="12" borderId="16" applyNumberFormat="0" applyAlignment="0" applyProtection="0"/>
    <xf numFmtId="0" fontId="20" fillId="0" borderId="18" applyNumberFormat="0" applyFill="0" applyAlignment="0" applyProtection="0"/>
    <xf numFmtId="0" fontId="21" fillId="13" borderId="19" applyNumberFormat="0" applyAlignment="0" applyProtection="0"/>
    <xf numFmtId="0" fontId="3" fillId="0" borderId="0" applyNumberFormat="0" applyFill="0" applyBorder="0" applyAlignment="0" applyProtection="0"/>
    <xf numFmtId="0" fontId="1" fillId="14" borderId="20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21" applyNumberFormat="0" applyFill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0" borderId="0"/>
    <xf numFmtId="0" fontId="1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</cellStyleXfs>
  <cellXfs count="216">
    <xf numFmtId="0" fontId="0" fillId="0" borderId="0" xfId="0"/>
    <xf numFmtId="0" fontId="2" fillId="0" borderId="0" xfId="0" applyFont="1"/>
    <xf numFmtId="164" fontId="2" fillId="3" borderId="0" xfId="0" applyNumberFormat="1" applyFont="1" applyFill="1"/>
    <xf numFmtId="0" fontId="0" fillId="3" borderId="0" xfId="0" applyFill="1"/>
    <xf numFmtId="0" fontId="2" fillId="3" borderId="0" xfId="0" applyFont="1" applyFill="1"/>
    <xf numFmtId="0" fontId="2" fillId="0" borderId="0" xfId="0" applyFont="1" applyFill="1" applyBorder="1" applyAlignment="1"/>
    <xf numFmtId="0" fontId="0" fillId="2" borderId="3" xfId="0" applyFill="1" applyBorder="1"/>
    <xf numFmtId="164" fontId="0" fillId="2" borderId="3" xfId="1" applyNumberFormat="1" applyFont="1" applyFill="1" applyBorder="1"/>
    <xf numFmtId="0" fontId="0" fillId="5" borderId="0" xfId="0" applyFill="1"/>
    <xf numFmtId="164" fontId="0" fillId="5" borderId="3" xfId="1" applyNumberFormat="1" applyFont="1" applyFill="1" applyBorder="1"/>
    <xf numFmtId="0" fontId="0" fillId="5" borderId="3" xfId="0" applyFill="1" applyBorder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2" borderId="3" xfId="0" applyFill="1" applyBorder="1" applyAlignment="1">
      <alignment horizontal="center" vertical="center"/>
    </xf>
    <xf numFmtId="0" fontId="0" fillId="5" borderId="6" xfId="0" applyFill="1" applyBorder="1"/>
    <xf numFmtId="0" fontId="0" fillId="2" borderId="9" xfId="0" applyFill="1" applyBorder="1"/>
    <xf numFmtId="0" fontId="2" fillId="6" borderId="9" xfId="0" applyFont="1" applyFill="1" applyBorder="1" applyAlignment="1">
      <alignment horizontal="right"/>
    </xf>
    <xf numFmtId="164" fontId="2" fillId="6" borderId="9" xfId="0" applyNumberFormat="1" applyFont="1" applyFill="1" applyBorder="1"/>
    <xf numFmtId="0" fontId="0" fillId="0" borderId="0" xfId="0" applyFill="1"/>
    <xf numFmtId="164" fontId="2" fillId="6" borderId="9" xfId="1" applyNumberFormat="1" applyFont="1" applyFill="1" applyBorder="1"/>
    <xf numFmtId="3" fontId="0" fillId="0" borderId="0" xfId="0" applyNumberFormat="1" applyFill="1"/>
    <xf numFmtId="0" fontId="7" fillId="0" borderId="0" xfId="0" applyFont="1"/>
    <xf numFmtId="0" fontId="7" fillId="0" borderId="0" xfId="0" applyFont="1" applyFill="1" applyBorder="1"/>
    <xf numFmtId="0" fontId="0" fillId="4" borderId="3" xfId="0" applyFill="1" applyBorder="1"/>
    <xf numFmtId="0" fontId="0" fillId="0" borderId="0" xfId="0" applyAlignment="1">
      <alignment horizontal="center" vertical="center"/>
    </xf>
    <xf numFmtId="0" fontId="0" fillId="0" borderId="0" xfId="0"/>
    <xf numFmtId="43" fontId="0" fillId="0" borderId="0" xfId="2" applyFont="1"/>
    <xf numFmtId="43" fontId="0" fillId="0" borderId="0" xfId="2" applyNumberFormat="1" applyFont="1"/>
    <xf numFmtId="44" fontId="0" fillId="0" borderId="0" xfId="0" applyNumberFormat="1"/>
    <xf numFmtId="165" fontId="0" fillId="0" borderId="0" xfId="1" applyNumberFormat="1" applyFont="1"/>
    <xf numFmtId="0" fontId="0" fillId="0" borderId="0" xfId="0"/>
    <xf numFmtId="0" fontId="0" fillId="0" borderId="0" xfId="0" applyFill="1" applyBorder="1"/>
    <xf numFmtId="0" fontId="0" fillId="0" borderId="0" xfId="0" applyBorder="1"/>
    <xf numFmtId="44" fontId="0" fillId="0" borderId="0" xfId="1" applyFont="1" applyBorder="1"/>
    <xf numFmtId="0" fontId="0" fillId="0" borderId="0" xfId="0"/>
    <xf numFmtId="0" fontId="4" fillId="0" borderId="0" xfId="0" applyFont="1"/>
    <xf numFmtId="44" fontId="4" fillId="0" borderId="0" xfId="1" applyFont="1" applyBorder="1"/>
    <xf numFmtId="0" fontId="0" fillId="0" borderId="0" xfId="0"/>
    <xf numFmtId="0" fontId="0" fillId="0" borderId="0" xfId="0" applyBorder="1"/>
    <xf numFmtId="0" fontId="2" fillId="62" borderId="0" xfId="0" applyFont="1" applyFill="1"/>
    <xf numFmtId="0" fontId="0" fillId="0" borderId="0" xfId="0"/>
    <xf numFmtId="0" fontId="2" fillId="61" borderId="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43" fillId="0" borderId="0" xfId="92" applyAlignment="1" applyProtection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63" borderId="3" xfId="0" applyFill="1" applyBorder="1"/>
    <xf numFmtId="165" fontId="0" fillId="63" borderId="3" xfId="1" applyNumberFormat="1" applyFont="1" applyFill="1" applyBorder="1"/>
    <xf numFmtId="0" fontId="4" fillId="63" borderId="3" xfId="0" applyFont="1" applyFill="1" applyBorder="1"/>
    <xf numFmtId="44" fontId="25" fillId="63" borderId="3" xfId="1" applyFont="1" applyFill="1" applyBorder="1"/>
    <xf numFmtId="44" fontId="0" fillId="63" borderId="3" xfId="1" applyFont="1" applyFill="1" applyBorder="1"/>
    <xf numFmtId="0" fontId="0" fillId="64" borderId="3" xfId="0" applyFill="1" applyBorder="1"/>
    <xf numFmtId="0" fontId="0" fillId="64" borderId="3" xfId="0" applyFill="1" applyBorder="1" applyAlignment="1">
      <alignment horizontal="right"/>
    </xf>
    <xf numFmtId="0" fontId="0" fillId="64" borderId="31" xfId="0" applyFill="1" applyBorder="1" applyAlignment="1">
      <alignment horizontal="center" vertical="center"/>
    </xf>
    <xf numFmtId="0" fontId="0" fillId="64" borderId="31" xfId="0" applyFill="1" applyBorder="1"/>
    <xf numFmtId="0" fontId="0" fillId="64" borderId="8" xfId="0" applyFill="1" applyBorder="1"/>
    <xf numFmtId="0" fontId="0" fillId="64" borderId="34" xfId="0" applyFill="1" applyBorder="1"/>
    <xf numFmtId="3" fontId="0" fillId="64" borderId="31" xfId="0" applyNumberFormat="1" applyFill="1" applyBorder="1"/>
    <xf numFmtId="0" fontId="4" fillId="64" borderId="31" xfId="0" applyFont="1" applyFill="1" applyBorder="1" applyAlignment="1">
      <alignment horizontal="center" vertical="center"/>
    </xf>
    <xf numFmtId="0" fontId="0" fillId="64" borderId="34" xfId="0" applyFill="1" applyBorder="1" applyAlignment="1">
      <alignment horizontal="right"/>
    </xf>
    <xf numFmtId="3" fontId="4" fillId="64" borderId="11" xfId="0" applyNumberFormat="1" applyFont="1" applyFill="1" applyBorder="1"/>
    <xf numFmtId="0" fontId="0" fillId="63" borderId="6" xfId="0" applyFill="1" applyBorder="1"/>
    <xf numFmtId="166" fontId="0" fillId="63" borderId="6" xfId="0" applyNumberFormat="1" applyFill="1" applyBorder="1"/>
    <xf numFmtId="0" fontId="0" fillId="63" borderId="9" xfId="0" applyFill="1" applyBorder="1"/>
    <xf numFmtId="166" fontId="0" fillId="63" borderId="9" xfId="0" applyNumberFormat="1" applyFill="1" applyBorder="1"/>
    <xf numFmtId="37" fontId="4" fillId="63" borderId="3" xfId="1" applyNumberFormat="1" applyFont="1" applyFill="1" applyBorder="1"/>
    <xf numFmtId="37" fontId="0" fillId="63" borderId="3" xfId="1" applyNumberFormat="1" applyFont="1" applyFill="1" applyBorder="1"/>
    <xf numFmtId="37" fontId="0" fillId="63" borderId="6" xfId="1" applyNumberFormat="1" applyFont="1" applyFill="1" applyBorder="1"/>
    <xf numFmtId="37" fontId="0" fillId="63" borderId="9" xfId="1" applyNumberFormat="1" applyFont="1" applyFill="1" applyBorder="1"/>
    <xf numFmtId="0" fontId="0" fillId="0" borderId="35" xfId="0" applyBorder="1"/>
    <xf numFmtId="0" fontId="7" fillId="0" borderId="35" xfId="0" applyFont="1" applyFill="1" applyBorder="1"/>
    <xf numFmtId="164" fontId="0" fillId="63" borderId="3" xfId="0" applyNumberFormat="1" applyFont="1" applyFill="1" applyBorder="1"/>
    <xf numFmtId="164" fontId="0" fillId="63" borderId="3" xfId="1" applyNumberFormat="1" applyFont="1" applyFill="1" applyBorder="1"/>
    <xf numFmtId="0" fontId="2" fillId="63" borderId="3" xfId="0" applyFont="1" applyFill="1" applyBorder="1"/>
    <xf numFmtId="164" fontId="2" fillId="63" borderId="3" xfId="0" applyNumberFormat="1" applyFont="1" applyFill="1" applyBorder="1"/>
    <xf numFmtId="0" fontId="2" fillId="0" borderId="35" xfId="0" applyFont="1" applyBorder="1" applyAlignment="1">
      <alignment horizontal="center" vertical="center"/>
    </xf>
    <xf numFmtId="3" fontId="0" fillId="64" borderId="33" xfId="0" applyNumberFormat="1" applyFill="1" applyBorder="1"/>
    <xf numFmtId="0" fontId="0" fillId="64" borderId="33" xfId="0" applyFill="1" applyBorder="1"/>
    <xf numFmtId="9" fontId="0" fillId="64" borderId="12" xfId="0" applyNumberFormat="1" applyFill="1" applyBorder="1"/>
    <xf numFmtId="0" fontId="0" fillId="64" borderId="33" xfId="0" applyFill="1" applyBorder="1"/>
    <xf numFmtId="0" fontId="0" fillId="64" borderId="34" xfId="0" applyFill="1" applyBorder="1"/>
    <xf numFmtId="0" fontId="0" fillId="0" borderId="7" xfId="0" applyBorder="1" applyAlignment="1">
      <alignment horizontal="center" vertical="center"/>
    </xf>
    <xf numFmtId="164" fontId="0" fillId="5" borderId="6" xfId="1" applyNumberFormat="1" applyFont="1" applyFill="1" applyBorder="1"/>
    <xf numFmtId="0" fontId="0" fillId="63" borderId="8" xfId="0" applyFill="1" applyBorder="1"/>
    <xf numFmtId="0" fontId="4" fillId="63" borderId="34" xfId="0" applyFont="1" applyFill="1" applyBorder="1"/>
    <xf numFmtId="0" fontId="0" fillId="62" borderId="8" xfId="0" applyFill="1" applyBorder="1"/>
    <xf numFmtId="0" fontId="4" fillId="62" borderId="34" xfId="0" applyFont="1" applyFill="1" applyBorder="1"/>
    <xf numFmtId="0" fontId="0" fillId="62" borderId="37" xfId="0" applyFill="1" applyBorder="1"/>
    <xf numFmtId="43" fontId="0" fillId="0" borderId="0" xfId="0" applyNumberFormat="1"/>
    <xf numFmtId="0" fontId="0" fillId="62" borderId="41" xfId="0" applyFill="1" applyBorder="1"/>
    <xf numFmtId="2" fontId="0" fillId="62" borderId="42" xfId="0" applyNumberFormat="1" applyFill="1" applyBorder="1" applyAlignment="1">
      <alignment horizontal="center" vertical="center"/>
    </xf>
    <xf numFmtId="2" fontId="0" fillId="62" borderId="43" xfId="0" applyNumberFormat="1" applyFill="1" applyBorder="1" applyAlignment="1">
      <alignment horizontal="center" vertical="center"/>
    </xf>
    <xf numFmtId="2" fontId="0" fillId="62" borderId="44" xfId="0" applyNumberFormat="1" applyFill="1" applyBorder="1" applyAlignment="1">
      <alignment horizontal="center" vertical="center"/>
    </xf>
    <xf numFmtId="0" fontId="0" fillId="63" borderId="45" xfId="0" applyFill="1" applyBorder="1"/>
    <xf numFmtId="0" fontId="0" fillId="62" borderId="45" xfId="0" applyFill="1" applyBorder="1"/>
    <xf numFmtId="2" fontId="0" fillId="62" borderId="46" xfId="0" applyNumberFormat="1" applyFill="1" applyBorder="1" applyAlignment="1">
      <alignment horizontal="center" vertical="center"/>
    </xf>
    <xf numFmtId="0" fontId="4" fillId="63" borderId="41" xfId="0" applyFont="1" applyFill="1" applyBorder="1"/>
    <xf numFmtId="0" fontId="4" fillId="63" borderId="47" xfId="0" applyFont="1" applyFill="1" applyBorder="1"/>
    <xf numFmtId="37" fontId="4" fillId="63" borderId="47" xfId="1" applyNumberFormat="1" applyFont="1" applyFill="1" applyBorder="1"/>
    <xf numFmtId="42" fontId="44" fillId="61" borderId="42" xfId="0" applyNumberFormat="1" applyFont="1" applyFill="1" applyBorder="1"/>
    <xf numFmtId="42" fontId="44" fillId="61" borderId="43" xfId="0" applyNumberFormat="1" applyFont="1" applyFill="1" applyBorder="1"/>
    <xf numFmtId="42" fontId="9" fillId="61" borderId="44" xfId="0" applyNumberFormat="1" applyFont="1" applyFill="1" applyBorder="1"/>
    <xf numFmtId="42" fontId="9" fillId="61" borderId="46" xfId="0" applyNumberFormat="1" applyFont="1" applyFill="1" applyBorder="1"/>
    <xf numFmtId="42" fontId="9" fillId="61" borderId="43" xfId="0" applyNumberFormat="1" applyFont="1" applyFill="1" applyBorder="1"/>
    <xf numFmtId="0" fontId="2" fillId="61" borderId="36" xfId="0" applyFont="1" applyFill="1" applyBorder="1" applyAlignment="1">
      <alignment horizontal="center" vertical="center"/>
    </xf>
    <xf numFmtId="0" fontId="0" fillId="63" borderId="41" xfId="0" applyFill="1" applyBorder="1"/>
    <xf numFmtId="0" fontId="0" fillId="63" borderId="47" xfId="0" applyFill="1" applyBorder="1"/>
    <xf numFmtId="166" fontId="0" fillId="63" borderId="47" xfId="0" applyNumberFormat="1" applyFill="1" applyBorder="1"/>
    <xf numFmtId="166" fontId="0" fillId="63" borderId="44" xfId="0" applyNumberFormat="1" applyFill="1" applyBorder="1"/>
    <xf numFmtId="0" fontId="0" fillId="64" borderId="31" xfId="0" applyFill="1" applyBorder="1" applyAlignment="1"/>
    <xf numFmtId="0" fontId="0" fillId="64" borderId="33" xfId="0" applyFill="1" applyBorder="1" applyAlignment="1"/>
    <xf numFmtId="10" fontId="0" fillId="64" borderId="33" xfId="0" applyNumberFormat="1" applyFill="1" applyBorder="1"/>
    <xf numFmtId="0" fontId="0" fillId="0" borderId="32" xfId="0" applyBorder="1" applyAlignment="1">
      <alignment horizontal="center" vertical="center"/>
    </xf>
    <xf numFmtId="0" fontId="0" fillId="6" borderId="11" xfId="0" applyFill="1" applyBorder="1" applyAlignment="1">
      <alignment horizontal="right"/>
    </xf>
    <xf numFmtId="0" fontId="0" fillId="0" borderId="48" xfId="0" applyBorder="1"/>
    <xf numFmtId="0" fontId="0" fillId="0" borderId="49" xfId="0" applyBorder="1"/>
    <xf numFmtId="0" fontId="0" fillId="0" borderId="32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10" xfId="0" applyBorder="1"/>
    <xf numFmtId="0" fontId="2" fillId="61" borderId="48" xfId="0" applyFont="1" applyFill="1" applyBorder="1" applyAlignment="1">
      <alignment horizontal="center"/>
    </xf>
    <xf numFmtId="0" fontId="2" fillId="0" borderId="32" xfId="0" applyFont="1" applyBorder="1"/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6" borderId="0" xfId="0" applyFont="1" applyFill="1" applyBorder="1"/>
    <xf numFmtId="0" fontId="2" fillId="6" borderId="12" xfId="0" applyFont="1" applyFill="1" applyBorder="1"/>
    <xf numFmtId="0" fontId="2" fillId="6" borderId="8" xfId="0" applyFont="1" applyFill="1" applyBorder="1"/>
    <xf numFmtId="0" fontId="2" fillId="0" borderId="3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0" fillId="0" borderId="0" xfId="95" applyFont="1"/>
    <xf numFmtId="9" fontId="0" fillId="5" borderId="0" xfId="95" applyFont="1" applyFill="1"/>
    <xf numFmtId="9" fontId="0" fillId="0" borderId="0" xfId="95" applyFont="1" applyFill="1"/>
    <xf numFmtId="9" fontId="3" fillId="0" borderId="0" xfId="0" applyNumberFormat="1" applyFont="1"/>
    <xf numFmtId="0" fontId="0" fillId="3" borderId="3" xfId="0" applyFill="1" applyBorder="1"/>
    <xf numFmtId="0" fontId="0" fillId="3" borderId="34" xfId="0" applyFill="1" applyBorder="1" applyAlignment="1">
      <alignment horizontal="center" vertical="center"/>
    </xf>
    <xf numFmtId="9" fontId="0" fillId="3" borderId="31" xfId="95" applyFont="1" applyFill="1" applyBorder="1" applyAlignment="1">
      <alignment horizontal="right"/>
    </xf>
    <xf numFmtId="0" fontId="4" fillId="64" borderId="3" xfId="0" applyFont="1" applyFill="1" applyBorder="1" applyAlignment="1">
      <alignment horizontal="right"/>
    </xf>
    <xf numFmtId="0" fontId="4" fillId="64" borderId="3" xfId="0" applyFont="1" applyFill="1" applyBorder="1" applyAlignment="1">
      <alignment horizontal="center" vertical="center"/>
    </xf>
    <xf numFmtId="167" fontId="4" fillId="64" borderId="3" xfId="0" applyNumberFormat="1" applyFont="1" applyFill="1" applyBorder="1"/>
    <xf numFmtId="0" fontId="4" fillId="64" borderId="3" xfId="0" applyFont="1" applyFill="1" applyBorder="1"/>
    <xf numFmtId="44" fontId="0" fillId="63" borderId="3" xfId="1" applyNumberFormat="1" applyFont="1" applyFill="1" applyBorder="1"/>
    <xf numFmtId="0" fontId="9" fillId="0" borderId="0" xfId="0" applyFont="1"/>
    <xf numFmtId="0" fontId="2" fillId="0" borderId="0" xfId="0" applyFont="1"/>
    <xf numFmtId="166" fontId="0" fillId="63" borderId="47" xfId="0" applyNumberFormat="1" applyFill="1" applyBorder="1"/>
    <xf numFmtId="0" fontId="9" fillId="0" borderId="0" xfId="0" applyFont="1"/>
    <xf numFmtId="164" fontId="0" fillId="0" borderId="0" xfId="1" applyNumberFormat="1" applyFont="1"/>
    <xf numFmtId="164" fontId="0" fillId="6" borderId="0" xfId="1" applyNumberFormat="1" applyFont="1" applyFill="1"/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2" fontId="0" fillId="0" borderId="3" xfId="0" applyNumberFormat="1" applyBorder="1" applyAlignment="1">
      <alignment horizontal="center" vertical="top"/>
    </xf>
    <xf numFmtId="164" fontId="0" fillId="0" borderId="3" xfId="1" applyNumberFormat="1" applyFont="1" applyBorder="1" applyAlignment="1">
      <alignment vertical="top"/>
    </xf>
    <xf numFmtId="0" fontId="0" fillId="0" borderId="3" xfId="0" applyBorder="1" applyAlignment="1">
      <alignment vertical="center"/>
    </xf>
    <xf numFmtId="164" fontId="0" fillId="0" borderId="3" xfId="1" applyNumberFormat="1" applyFont="1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47" fillId="0" borderId="0" xfId="0" applyFont="1"/>
    <xf numFmtId="166" fontId="0" fillId="63" borderId="3" xfId="2" applyNumberFormat="1" applyFont="1" applyFill="1" applyBorder="1"/>
    <xf numFmtId="2" fontId="0" fillId="0" borderId="0" xfId="0" applyNumberFormat="1" applyBorder="1"/>
    <xf numFmtId="2" fontId="2" fillId="6" borderId="12" xfId="0" applyNumberFormat="1" applyFont="1" applyFill="1" applyBorder="1"/>
    <xf numFmtId="2" fontId="0" fillId="7" borderId="12" xfId="0" applyNumberFormat="1" applyFill="1" applyBorder="1"/>
    <xf numFmtId="2" fontId="0" fillId="0" borderId="3" xfId="0" applyNumberFormat="1" applyBorder="1" applyAlignment="1">
      <alignment horizontal="center" vertical="center"/>
    </xf>
    <xf numFmtId="164" fontId="0" fillId="0" borderId="0" xfId="1" applyNumberFormat="1" applyFont="1" applyFill="1" applyBorder="1"/>
    <xf numFmtId="168" fontId="0" fillId="64" borderId="48" xfId="95" applyNumberFormat="1" applyFont="1" applyFill="1" applyBorder="1" applyAlignment="1">
      <alignment horizontal="right" vertical="center"/>
    </xf>
    <xf numFmtId="0" fontId="0" fillId="0" borderId="3" xfId="0" applyBorder="1"/>
    <xf numFmtId="2" fontId="0" fillId="0" borderId="3" xfId="0" applyNumberFormat="1" applyBorder="1"/>
    <xf numFmtId="166" fontId="0" fillId="0" borderId="3" xfId="2" applyNumberFormat="1" applyFont="1" applyBorder="1"/>
    <xf numFmtId="0" fontId="0" fillId="0" borderId="3" xfId="0" applyFill="1" applyBorder="1"/>
    <xf numFmtId="166" fontId="0" fillId="0" borderId="3" xfId="0" applyNumberFormat="1" applyBorder="1"/>
    <xf numFmtId="166" fontId="0" fillId="2" borderId="3" xfId="2" applyNumberFormat="1" applyFont="1" applyFill="1" applyBorder="1"/>
    <xf numFmtId="6" fontId="0" fillId="61" borderId="3" xfId="1" applyNumberFormat="1" applyFont="1" applyFill="1" applyBorder="1"/>
    <xf numFmtId="164" fontId="0" fillId="61" borderId="3" xfId="1" applyNumberFormat="1" applyFont="1" applyFill="1" applyBorder="1"/>
    <xf numFmtId="164" fontId="9" fillId="61" borderId="3" xfId="1" applyNumberFormat="1" applyFont="1" applyFill="1" applyBorder="1"/>
    <xf numFmtId="166" fontId="2" fillId="63" borderId="3" xfId="0" applyNumberFormat="1" applyFont="1" applyFill="1" applyBorder="1"/>
    <xf numFmtId="168" fontId="0" fillId="0" borderId="0" xfId="95" applyNumberFormat="1" applyFont="1"/>
    <xf numFmtId="6" fontId="0" fillId="0" borderId="0" xfId="0" applyNumberFormat="1"/>
    <xf numFmtId="6" fontId="0" fillId="6" borderId="3" xfId="1" applyNumberFormat="1" applyFont="1" applyFill="1" applyBorder="1"/>
    <xf numFmtId="0" fontId="45" fillId="62" borderId="0" xfId="0" applyFont="1" applyFill="1" applyAlignment="1">
      <alignment horizontal="center"/>
    </xf>
    <xf numFmtId="0" fontId="2" fillId="6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0" fillId="64" borderId="33" xfId="0" applyFill="1" applyBorder="1"/>
    <xf numFmtId="0" fontId="0" fillId="64" borderId="34" xfId="0" applyFill="1" applyBorder="1"/>
    <xf numFmtId="0" fontId="0" fillId="64" borderId="0" xfId="0" applyFill="1" applyBorder="1"/>
    <xf numFmtId="0" fontId="0" fillId="64" borderId="7" xfId="0" applyFill="1" applyBorder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64" borderId="10" xfId="0" applyFill="1" applyBorder="1" applyAlignment="1">
      <alignment horizontal="left" vertical="center"/>
    </xf>
    <xf numFmtId="0" fontId="0" fillId="64" borderId="49" xfId="0" applyFill="1" applyBorder="1" applyAlignment="1">
      <alignment horizontal="left" vertical="center"/>
    </xf>
    <xf numFmtId="0" fontId="0" fillId="64" borderId="11" xfId="0" applyFill="1" applyBorder="1" applyAlignment="1">
      <alignment horizontal="left" vertical="center"/>
    </xf>
    <xf numFmtId="0" fontId="0" fillId="64" borderId="8" xfId="0" applyFill="1" applyBorder="1" applyAlignment="1">
      <alignment horizontal="left" vertical="center"/>
    </xf>
    <xf numFmtId="0" fontId="0" fillId="64" borderId="31" xfId="0" applyFill="1" applyBorder="1" applyAlignment="1">
      <alignment horizontal="left" wrapText="1"/>
    </xf>
    <xf numFmtId="0" fontId="0" fillId="64" borderId="34" xfId="0" applyFill="1" applyBorder="1" applyAlignment="1">
      <alignment horizontal="left" wrapText="1"/>
    </xf>
    <xf numFmtId="0" fontId="46" fillId="61" borderId="12" xfId="0" applyFont="1" applyFill="1" applyBorder="1" applyAlignment="1">
      <alignment horizontal="center"/>
    </xf>
    <xf numFmtId="0" fontId="2" fillId="61" borderId="0" xfId="0" applyFont="1" applyFill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top"/>
    </xf>
    <xf numFmtId="0" fontId="0" fillId="0" borderId="34" xfId="0" applyBorder="1" applyAlignment="1">
      <alignment horizontal="center" vertical="top"/>
    </xf>
  </cellXfs>
  <cellStyles count="99">
    <cellStyle name="20% - Accent1 2" xfId="67"/>
    <cellStyle name="20% - Accent1 3" xfId="5"/>
    <cellStyle name="20% - Accent2 2" xfId="71"/>
    <cellStyle name="20% - Accent2 3" xfId="6"/>
    <cellStyle name="20% - Accent3 2" xfId="75"/>
    <cellStyle name="20% - Accent3 3" xfId="7"/>
    <cellStyle name="20% - Accent4 2" xfId="79"/>
    <cellStyle name="20% - Accent4 3" xfId="8"/>
    <cellStyle name="20% - Accent5 2" xfId="83"/>
    <cellStyle name="20% - Accent5 3" xfId="9"/>
    <cellStyle name="20% - Accent6 2" xfId="87"/>
    <cellStyle name="20% - Accent6 3" xfId="10"/>
    <cellStyle name="40% - Accent1 2" xfId="68"/>
    <cellStyle name="40% - Accent1 3" xfId="11"/>
    <cellStyle name="40% - Accent2 2" xfId="72"/>
    <cellStyle name="40% - Accent2 3" xfId="12"/>
    <cellStyle name="40% - Accent3 2" xfId="76"/>
    <cellStyle name="40% - Accent3 3" xfId="13"/>
    <cellStyle name="40% - Accent4 2" xfId="80"/>
    <cellStyle name="40% - Accent4 3" xfId="14"/>
    <cellStyle name="40% - Accent5 2" xfId="84"/>
    <cellStyle name="40% - Accent5 3" xfId="15"/>
    <cellStyle name="40% - Accent6 2" xfId="88"/>
    <cellStyle name="40% - Accent6 3" xfId="16"/>
    <cellStyle name="60% - Accent1 2" xfId="69"/>
    <cellStyle name="60% - Accent1 3" xfId="17"/>
    <cellStyle name="60% - Accent2 2" xfId="73"/>
    <cellStyle name="60% - Accent2 3" xfId="18"/>
    <cellStyle name="60% - Accent3 2" xfId="77"/>
    <cellStyle name="60% - Accent3 3" xfId="19"/>
    <cellStyle name="60% - Accent4 2" xfId="81"/>
    <cellStyle name="60% - Accent4 3" xfId="20"/>
    <cellStyle name="60% - Accent5 2" xfId="85"/>
    <cellStyle name="60% - Accent5 3" xfId="21"/>
    <cellStyle name="60% - Accent6 2" xfId="89"/>
    <cellStyle name="60% - Accent6 3" xfId="22"/>
    <cellStyle name="Accent1 2" xfId="66"/>
    <cellStyle name="Accent1 3" xfId="23"/>
    <cellStyle name="Accent2 2" xfId="70"/>
    <cellStyle name="Accent2 3" xfId="24"/>
    <cellStyle name="Accent3 2" xfId="74"/>
    <cellStyle name="Accent3 3" xfId="25"/>
    <cellStyle name="Accent4 2" xfId="78"/>
    <cellStyle name="Accent4 3" xfId="26"/>
    <cellStyle name="Accent5 2" xfId="82"/>
    <cellStyle name="Accent5 3" xfId="27"/>
    <cellStyle name="Accent6 2" xfId="86"/>
    <cellStyle name="Accent6 3" xfId="28"/>
    <cellStyle name="Bad 2" xfId="55"/>
    <cellStyle name="Bad 3" xfId="29"/>
    <cellStyle name="Calculation 2" xfId="59"/>
    <cellStyle name="Calculation 3" xfId="30"/>
    <cellStyle name="Check Cell 2" xfId="61"/>
    <cellStyle name="Check Cell 3" xfId="31"/>
    <cellStyle name="Comma" xfId="2" builtinId="3"/>
    <cellStyle name="Comma 2" xfId="32"/>
    <cellStyle name="Comma 2 2" xfId="96"/>
    <cellStyle name="Currency" xfId="1" builtinId="4"/>
    <cellStyle name="Explanatory Text 2" xfId="64"/>
    <cellStyle name="Explanatory Text 3" xfId="33"/>
    <cellStyle name="Good 2" xfId="54"/>
    <cellStyle name="Good 3" xfId="34"/>
    <cellStyle name="Heading 1 2" xfId="50"/>
    <cellStyle name="Heading 1 3" xfId="35"/>
    <cellStyle name="Heading 2 2" xfId="51"/>
    <cellStyle name="Heading 2 3" xfId="36"/>
    <cellStyle name="Heading 3 2" xfId="52"/>
    <cellStyle name="Heading 3 3" xfId="37"/>
    <cellStyle name="Heading 4 2" xfId="53"/>
    <cellStyle name="Heading 4 3" xfId="38"/>
    <cellStyle name="Hyperlink 2" xfId="92"/>
    <cellStyle name="Input 2" xfId="57"/>
    <cellStyle name="Input 3" xfId="39"/>
    <cellStyle name="Linked Cell 2" xfId="60"/>
    <cellStyle name="Linked Cell 3" xfId="40"/>
    <cellStyle name="Neutral 2" xfId="56"/>
    <cellStyle name="Neutral 3" xfId="41"/>
    <cellStyle name="Normal" xfId="0" builtinId="0"/>
    <cellStyle name="Normal 2" xfId="48"/>
    <cellStyle name="Normal 3" xfId="3"/>
    <cellStyle name="Normal 3 2" xfId="91"/>
    <cellStyle name="Normal 4" xfId="90"/>
    <cellStyle name="Normal 5" xfId="4"/>
    <cellStyle name="Normal 6" xfId="94"/>
    <cellStyle name="Normal 6 2" xfId="98"/>
    <cellStyle name="Note 2" xfId="63"/>
    <cellStyle name="Note 3" xfId="42"/>
    <cellStyle name="Output 2" xfId="58"/>
    <cellStyle name="Output 3" xfId="43"/>
    <cellStyle name="Percent" xfId="95" builtinId="5"/>
    <cellStyle name="Percent 2" xfId="93"/>
    <cellStyle name="Percent 3" xfId="44"/>
    <cellStyle name="Percent 3 2" xfId="97"/>
    <cellStyle name="Title 2" xfId="49"/>
    <cellStyle name="Title 3" xfId="45"/>
    <cellStyle name="Total 2" xfId="65"/>
    <cellStyle name="Total 3" xfId="46"/>
    <cellStyle name="Warning Text 2" xfId="62"/>
    <cellStyle name="Warning Text 3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jpg@01CC7239.79BBB9B0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4</xdr:row>
      <xdr:rowOff>142874</xdr:rowOff>
    </xdr:from>
    <xdr:ext cx="4572000" cy="2190751"/>
    <xdr:sp macro="" textlink="">
      <xdr:nvSpPr>
        <xdr:cNvPr id="2" name="TextBox 1"/>
        <xdr:cNvSpPr txBox="1"/>
      </xdr:nvSpPr>
      <xdr:spPr>
        <a:xfrm>
          <a:off x="352425" y="714374"/>
          <a:ext cx="4572000" cy="2190751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/>
            <a:t>Created by: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="1"/>
            <a:t>Sohrab Pathan</a:t>
          </a:r>
        </a:p>
        <a:p>
          <a:r>
            <a:rPr lang="en-US" sz="1100"/>
            <a:t>Institute of Social and Economic Research, University of Alaska Anchorage</a:t>
          </a:r>
        </a:p>
        <a:p>
          <a:r>
            <a:rPr lang="en-US" sz="1100"/>
            <a:t>Alaska Center for Energy and Power,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University of Alaska Fairbanks</a:t>
          </a:r>
          <a:endParaRPr lang="en-US" sz="1100"/>
        </a:p>
        <a:p>
          <a:r>
            <a:rPr lang="en-US" sz="1100"/>
            <a:t>Ph: (907) 786 5452</a:t>
          </a:r>
        </a:p>
        <a:p>
          <a:r>
            <a:rPr lang="en-US" sz="1100"/>
            <a:t>E-mail: ahpathan@uaa.alaska.edu</a:t>
          </a:r>
        </a:p>
        <a:p>
          <a:endParaRPr lang="en-US" sz="1100"/>
        </a:p>
      </xdr:txBody>
    </xdr:sp>
    <xdr:clientData/>
  </xdr:oneCellAnchor>
  <xdr:twoCellAnchor>
    <xdr:from>
      <xdr:col>0</xdr:col>
      <xdr:colOff>238125</xdr:colOff>
      <xdr:row>17</xdr:row>
      <xdr:rowOff>123822</xdr:rowOff>
    </xdr:from>
    <xdr:to>
      <xdr:col>16</xdr:col>
      <xdr:colOff>104774</xdr:colOff>
      <xdr:row>50</xdr:row>
      <xdr:rowOff>47626</xdr:rowOff>
    </xdr:to>
    <xdr:sp macro="" textlink="">
      <xdr:nvSpPr>
        <xdr:cNvPr id="4" name="TextBox 3"/>
        <xdr:cNvSpPr txBox="1"/>
      </xdr:nvSpPr>
      <xdr:spPr>
        <a:xfrm>
          <a:off x="238125" y="3409947"/>
          <a:ext cx="9620249" cy="6210304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Main Sources of Data:</a:t>
          </a:r>
        </a:p>
        <a:p>
          <a:endParaRPr lang="en-US" sz="1100"/>
        </a:p>
        <a:p>
          <a:endParaRPr lang="en-US" sz="1100"/>
        </a:p>
        <a:p>
          <a:r>
            <a:rPr lang="en-US" sz="1100" b="1"/>
            <a:t>Heat value of Methane and Propane</a:t>
          </a:r>
        </a:p>
        <a:p>
          <a:r>
            <a:rPr lang="en-US" sz="1100" b="0" i="0"/>
            <a:t>Department of Horticulture,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Michigan State University</a:t>
          </a:r>
          <a:endParaRPr lang="en-US" sz="1100" b="0" i="0"/>
        </a:p>
        <a:p>
          <a:r>
            <a:rPr lang="en-US" sz="1100" i="1"/>
            <a:t>http://www.hrt.msu.edu/energy/pdf/heating%20value%20of%20common%20fuels.pdf</a:t>
          </a:r>
        </a:p>
        <a:p>
          <a:endParaRPr lang="en-US" sz="1100"/>
        </a:p>
        <a:p>
          <a:r>
            <a:rPr lang="en-US" sz="1100" b="1"/>
            <a:t>Heat value</a:t>
          </a:r>
          <a:r>
            <a:rPr lang="en-US" sz="1100" b="1" baseline="0"/>
            <a:t> of Diesel and Electricity</a:t>
          </a:r>
          <a:endParaRPr lang="en-US" sz="1100" b="1"/>
        </a:p>
        <a:p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Independent Statistics &amp; Analysis, </a:t>
          </a:r>
          <a:r>
            <a:rPr lang="en-US" sz="1100" i="0"/>
            <a:t>U.S.</a:t>
          </a:r>
          <a:r>
            <a:rPr lang="en-US" sz="1100" i="0" baseline="0"/>
            <a:t> Energy Information Administration</a:t>
          </a:r>
          <a:endParaRPr lang="en-US" sz="1100" i="0"/>
        </a:p>
        <a:p>
          <a:r>
            <a:rPr lang="en-US" sz="1100" i="1"/>
            <a:t>http://www.eia.gov/kids/energy.cfm?page=about_energy_conversion_calculator-basics</a:t>
          </a:r>
        </a:p>
        <a:p>
          <a:endParaRPr lang="en-US" sz="1100"/>
        </a:p>
        <a:p>
          <a:r>
            <a:rPr lang="en-US" sz="1100" b="1"/>
            <a:t>Price Projection for Diesel in Cordova  </a:t>
          </a:r>
        </a:p>
        <a:p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Institute of Social and Economic Research, </a:t>
          </a:r>
          <a:r>
            <a:rPr lang="en-US" sz="1100" i="0" u="none"/>
            <a:t>University</a:t>
          </a:r>
          <a:r>
            <a:rPr lang="en-US" sz="1100" i="0" u="none" baseline="0"/>
            <a:t> of Alaska Anchorage</a:t>
          </a:r>
          <a:endParaRPr lang="en-US" sz="1100" i="0" u="none"/>
        </a:p>
        <a:p>
          <a:r>
            <a:rPr lang="en-US" sz="1100" i="1"/>
            <a:t>http://www.iser.uaa.alaska.edu/Publications/Fuel_price_projection_2011-2035_final.pdf</a:t>
          </a:r>
        </a:p>
        <a:p>
          <a:r>
            <a:rPr lang="en-US" sz="1100" i="1"/>
            <a:t>http://www.iser.uaa.alaska.edu/Publications/Fuel_price_projection_2011-2035_workbook_final.xlsx</a:t>
          </a:r>
        </a:p>
        <a:p>
          <a:endParaRPr lang="en-US" sz="1100"/>
        </a:p>
        <a:p>
          <a:r>
            <a:rPr lang="en-US" sz="1100" b="1"/>
            <a:t>Price projection for Propane in Cordova</a:t>
          </a:r>
          <a:r>
            <a:rPr lang="en-US" sz="1100"/>
            <a:t>  </a:t>
          </a:r>
        </a:p>
        <a:p>
          <a:r>
            <a:rPr lang="en-US" sz="1100" i="0">
              <a:solidFill>
                <a:schemeClr val="dk1"/>
              </a:solidFill>
              <a:latin typeface="+mn-lt"/>
              <a:ea typeface="+mn-ea"/>
              <a:cs typeface="+mn-cs"/>
            </a:rPr>
            <a:t>Cooperative Extension Service, </a:t>
          </a:r>
          <a:r>
            <a:rPr lang="en-US" sz="1100" i="0"/>
            <a:t>University of Alaska Fairbanks</a:t>
          </a:r>
        </a:p>
        <a:p>
          <a:r>
            <a:rPr lang="en-US" sz="1100" i="1"/>
            <a:t>Calculated from the data: http://www.uaf.edu/ces/hhfd/fcs/</a:t>
          </a:r>
        </a:p>
        <a:p>
          <a:endParaRPr lang="en-US" sz="1100"/>
        </a:p>
        <a:p>
          <a:r>
            <a:rPr lang="en-US" sz="1100" b="1" i="0"/>
            <a:t>Anchorage CPI</a:t>
          </a:r>
          <a:endParaRPr lang="en-US" sz="1100" b="1" i="0" u="none">
            <a:solidFill>
              <a:sysClr val="windowText" lastClr="000000"/>
            </a:solidFill>
          </a:endParaRPr>
        </a:p>
        <a:p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Research and Analysis, </a:t>
          </a:r>
          <a:r>
            <a:rPr lang="en-US" i="0"/>
            <a:t>Alaska</a:t>
          </a:r>
          <a:r>
            <a:rPr lang="en-US" i="0" baseline="0"/>
            <a:t> </a:t>
          </a:r>
          <a:r>
            <a:rPr lang="en-US" i="0"/>
            <a:t>Department</a:t>
          </a:r>
          <a:r>
            <a:rPr lang="en-US" i="0" baseline="0"/>
            <a:t> of Labor and Workforce Development</a:t>
          </a:r>
        </a:p>
        <a:p>
          <a:r>
            <a:rPr lang="en-US" sz="1100" i="1"/>
            <a:t>http://www.labor.state.ak.us/research/cpi/cpi.htm</a:t>
          </a:r>
        </a:p>
        <a:p>
          <a:endParaRPr lang="en-US" sz="1100" i="1"/>
        </a:p>
        <a:p>
          <a:r>
            <a:rPr lang="en-US" sz="1100" b="1" i="0"/>
            <a:t>Minimum Wage Rate for the State of Alaska</a:t>
          </a:r>
        </a:p>
        <a:p>
          <a:r>
            <a:rPr lang="en-US" sz="1100" i="0">
              <a:solidFill>
                <a:schemeClr val="dk1"/>
              </a:solidFill>
              <a:latin typeface="+mn-lt"/>
              <a:ea typeface="+mn-ea"/>
              <a:cs typeface="+mn-cs"/>
            </a:rPr>
            <a:t>Wage and Hour Division, United States Department of Labor</a:t>
          </a:r>
        </a:p>
        <a:p>
          <a:r>
            <a:rPr lang="en-US" sz="1100" i="1">
              <a:solidFill>
                <a:schemeClr val="dk1"/>
              </a:solidFill>
              <a:latin typeface="+mn-lt"/>
              <a:ea typeface="+mn-ea"/>
              <a:cs typeface="+mn-cs"/>
            </a:rPr>
            <a:t>http://www.dol.gov/whd/minwage/america.htm#Alaska</a:t>
          </a:r>
        </a:p>
        <a:p>
          <a:endParaRPr lang="en-US" sz="1100" b="0" i="0"/>
        </a:p>
        <a:p>
          <a:r>
            <a:rPr lang="en-US" sz="1100" b="1" i="0"/>
            <a:t>General</a:t>
          </a:r>
          <a:r>
            <a:rPr lang="en-US" sz="1100" b="1" i="0" baseline="0"/>
            <a:t> Physical Unit (</a:t>
          </a:r>
          <a:r>
            <a:rPr lang="en-US" sz="1100" b="1" i="0"/>
            <a:t>Liter, Cubic Feet,</a:t>
          </a:r>
          <a:r>
            <a:rPr lang="en-US" sz="1100" b="1" i="0" baseline="0"/>
            <a:t> and Gallon) Conversion Factors</a:t>
          </a:r>
        </a:p>
        <a:p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Cooperative Extension, </a:t>
          </a:r>
          <a:r>
            <a:rPr lang="en-US" sz="1100" b="0" i="0" baseline="0"/>
            <a:t>North Carolina State University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latin typeface="+mn-lt"/>
              <a:ea typeface="+mn-ea"/>
              <a:cs typeface="+mn-cs"/>
            </a:rPr>
            <a:t>http://www.bae.ncsu.edu/programs/extension/manure/awm/program/barker/a&amp;pmp&amp;c/conversion.htm</a:t>
          </a:r>
        </a:p>
        <a:p>
          <a:endParaRPr lang="en-US" sz="1100" b="0" i="0"/>
        </a:p>
        <a:p>
          <a:r>
            <a:rPr lang="en-US" sz="1100" b="0" i="0"/>
            <a:t>MIT Energy Club, Massachusetts Institute of Technology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latin typeface="+mn-lt"/>
              <a:ea typeface="+mn-ea"/>
              <a:cs typeface="+mn-cs"/>
            </a:rPr>
            <a:t>http://www.mitenergyclub.org/assets/2008/11/15/Units_ConvFactors.MIT_EnergyClub_Factsheet.v8.pdf</a:t>
          </a:r>
        </a:p>
        <a:p>
          <a:endParaRPr lang="en-US" sz="1100" b="0" i="0"/>
        </a:p>
      </xdr:txBody>
    </xdr:sp>
    <xdr:clientData/>
  </xdr:twoCellAnchor>
  <xdr:twoCellAnchor>
    <xdr:from>
      <xdr:col>0</xdr:col>
      <xdr:colOff>254802</xdr:colOff>
      <xdr:row>51</xdr:row>
      <xdr:rowOff>28575</xdr:rowOff>
    </xdr:from>
    <xdr:to>
      <xdr:col>16</xdr:col>
      <xdr:colOff>104775</xdr:colOff>
      <xdr:row>61</xdr:row>
      <xdr:rowOff>133350</xdr:rowOff>
    </xdr:to>
    <xdr:sp macro="" textlink="">
      <xdr:nvSpPr>
        <xdr:cNvPr id="5" name="TextBox 4"/>
        <xdr:cNvSpPr txBox="1"/>
      </xdr:nvSpPr>
      <xdr:spPr>
        <a:xfrm>
          <a:off x="254802" y="9791700"/>
          <a:ext cx="9603573" cy="2009775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Summary of Assumptions:</a:t>
          </a:r>
        </a:p>
        <a:p>
          <a:endParaRPr lang="en-US" sz="1100"/>
        </a:p>
        <a:p>
          <a:r>
            <a:rPr lang="en-US" sz="1100" b="1"/>
            <a:t>1.</a:t>
          </a:r>
          <a:r>
            <a:rPr lang="en-US" sz="110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analysis assumes a conceptual prototype bio-digester, based on the laboratory scale system demonstrated in the project</a:t>
          </a:r>
          <a:r>
            <a:rPr lang="en-US" sz="1100" baseline="0"/>
            <a:t>. </a:t>
          </a:r>
        </a:p>
        <a:p>
          <a:endParaRPr lang="en-US" sz="1100" baseline="0"/>
        </a:p>
        <a:p>
          <a:r>
            <a:rPr lang="en-US" sz="1100" b="1"/>
            <a:t>2.</a:t>
          </a:r>
          <a:r>
            <a:rPr lang="en-US" sz="1100"/>
            <a:t> </a:t>
          </a:r>
          <a:r>
            <a:rPr lang="en-US" sz="1100" baseline="0"/>
            <a:t>Microbial metabolic rates were tested at 15⁰C and 25⁰C.  </a:t>
          </a:r>
        </a:p>
        <a:p>
          <a:endParaRPr lang="en-US" sz="1100" baseline="0"/>
        </a:p>
        <a:p>
          <a:r>
            <a:rPr lang="en-US" sz="1100" b="1" baseline="0"/>
            <a:t>3.</a:t>
          </a:r>
          <a:r>
            <a:rPr lang="en-US" sz="1100" baseline="0"/>
            <a:t> Propane price projection was made based on average of percentage increase of Propane price from 2007 to 2010.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    </a:t>
          </a:r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4.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Some more assumptions are explained in 'Assumptions and Raw Data' worksheet.</a:t>
          </a:r>
          <a:endParaRPr lang="en-US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  <xdr:twoCellAnchor>
    <xdr:from>
      <xdr:col>0</xdr:col>
      <xdr:colOff>266700</xdr:colOff>
      <xdr:row>62</xdr:row>
      <xdr:rowOff>164306</xdr:rowOff>
    </xdr:from>
    <xdr:to>
      <xdr:col>16</xdr:col>
      <xdr:colOff>104775</xdr:colOff>
      <xdr:row>77</xdr:row>
      <xdr:rowOff>161926</xdr:rowOff>
    </xdr:to>
    <xdr:sp macro="" textlink="">
      <xdr:nvSpPr>
        <xdr:cNvPr id="6" name="TextBox 5"/>
        <xdr:cNvSpPr txBox="1"/>
      </xdr:nvSpPr>
      <xdr:spPr>
        <a:xfrm>
          <a:off x="266700" y="12022931"/>
          <a:ext cx="9591675" cy="2855120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Contents:</a:t>
          </a:r>
        </a:p>
        <a:p>
          <a:endParaRPr lang="en-US" sz="1100"/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Worksheet: Info from UAF Project Manager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worksheet has preliminary information ACEP has provided to ISER and has been used to create '</a:t>
          </a:r>
          <a:r>
            <a:rPr lang="en-US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Assumption and Raw Data'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worksheet.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Worksheet</a:t>
          </a:r>
          <a:r>
            <a:rPr lang="en-US" sz="1100" b="1"/>
            <a:t>: Assumptions and  Raw Data</a:t>
          </a:r>
        </a:p>
        <a:p>
          <a:r>
            <a:rPr lang="en-US" sz="1100"/>
            <a:t>This worksheet includes  'assumed' data from the 'assumed' model,</a:t>
          </a:r>
          <a:r>
            <a:rPr lang="en-US" sz="1100" baseline="0"/>
            <a:t> and historical data from University of Alaska Fairbank's Cooperative Extension Service (for propane price projection). This worksheet also elaborates the assumptions behind some other numbers (e.g. labor cost, O&amp;M cost, etc) that are used in different calculations.</a:t>
          </a:r>
          <a:endParaRPr lang="en-US" sz="1100"/>
        </a:p>
        <a:p>
          <a:endParaRPr lang="en-US" sz="1100"/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Worksheet</a:t>
          </a:r>
          <a:r>
            <a:rPr lang="en-US" sz="1100" b="1"/>
            <a:t>:</a:t>
          </a:r>
          <a:r>
            <a:rPr lang="en-US" sz="1100" b="1" baseline="0"/>
            <a:t> Sensitivity &amp; B-C Analysis</a:t>
          </a:r>
        </a:p>
        <a:p>
          <a:r>
            <a:rPr lang="en-US" sz="1100" baseline="0"/>
            <a:t>This worksheet has the calculation for sensitivity analysis and benefit-cost ratios.</a:t>
          </a:r>
        </a:p>
        <a:p>
          <a:endParaRPr lang="en-US" sz="1100"/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Worksheet: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Goal Seek and Cost Percentage</a:t>
          </a:r>
          <a:endParaRPr lang="en-US" sz="1100"/>
        </a:p>
        <a:p>
          <a:r>
            <a:rPr lang="en-US" sz="1100"/>
            <a:t>This worksheet shows what the </a:t>
          </a:r>
          <a:r>
            <a:rPr lang="en-US" sz="1100" baseline="0"/>
            <a:t>capital costs and O&amp;M costs have to be to get the B-C ratio of 1. It also shows the cost distribution for the project lifetime.</a:t>
          </a:r>
          <a:endParaRPr lang="en-US" sz="1100"/>
        </a:p>
        <a:p>
          <a:endParaRPr lang="en-US" sz="1100"/>
        </a:p>
      </xdr:txBody>
    </xdr:sp>
    <xdr:clientData/>
  </xdr:twoCellAnchor>
  <xdr:twoCellAnchor editAs="oneCell">
    <xdr:from>
      <xdr:col>0</xdr:col>
      <xdr:colOff>476250</xdr:colOff>
      <xdr:row>81</xdr:row>
      <xdr:rowOff>28575</xdr:rowOff>
    </xdr:from>
    <xdr:to>
      <xdr:col>2</xdr:col>
      <xdr:colOff>76200</xdr:colOff>
      <xdr:row>85</xdr:row>
      <xdr:rowOff>180975</xdr:rowOff>
    </xdr:to>
    <xdr:pic>
      <xdr:nvPicPr>
        <xdr:cNvPr id="7" name="Picture 6" descr="cid:image002.jpg@01CC7239.79BBB9B0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76250" y="15506700"/>
          <a:ext cx="8191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476250</xdr:colOff>
      <xdr:row>81</xdr:row>
      <xdr:rowOff>95250</xdr:rowOff>
    </xdr:from>
    <xdr:to>
      <xdr:col>7</xdr:col>
      <xdr:colOff>127635</xdr:colOff>
      <xdr:row>85</xdr:row>
      <xdr:rowOff>76200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95450" y="15573375"/>
          <a:ext cx="269938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561976</xdr:colOff>
      <xdr:row>80</xdr:row>
      <xdr:rowOff>180976</xdr:rowOff>
    </xdr:from>
    <xdr:to>
      <xdr:col>9</xdr:col>
      <xdr:colOff>371475</xdr:colOff>
      <xdr:row>86</xdr:row>
      <xdr:rowOff>46405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29176" y="15468601"/>
          <a:ext cx="1028699" cy="100842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10</xdr:col>
          <xdr:colOff>457200</xdr:colOff>
          <xdr:row>50</xdr:row>
          <xdr:rowOff>180975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</xdr:row>
          <xdr:rowOff>0</xdr:rowOff>
        </xdr:from>
        <xdr:to>
          <xdr:col>13</xdr:col>
          <xdr:colOff>304800</xdr:colOff>
          <xdr:row>6</xdr:row>
          <xdr:rowOff>114300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5"/>
  <sheetViews>
    <sheetView tabSelected="1" zoomScaleNormal="100" workbookViewId="0">
      <selection activeCell="S74" sqref="S74"/>
    </sheetView>
  </sheetViews>
  <sheetFormatPr defaultRowHeight="15" x14ac:dyDescent="0.25"/>
  <sheetData>
    <row r="1" spans="1:22" s="40" customFormat="1" x14ac:dyDescent="0.25"/>
    <row r="2" spans="1:22" ht="18.75" x14ac:dyDescent="0.3">
      <c r="A2" s="182" t="s">
        <v>112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2" s="43" customFormat="1" x14ac:dyDescent="0.25">
      <c r="A3" s="183" t="s">
        <v>90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5" spans="1:22" x14ac:dyDescent="0.25">
      <c r="A5" s="40"/>
    </row>
  </sheetData>
  <mergeCells count="2">
    <mergeCell ref="A2:V2"/>
    <mergeCell ref="A3:V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M12:S15"/>
  <sheetViews>
    <sheetView workbookViewId="0">
      <selection activeCell="S28" sqref="S28"/>
    </sheetView>
  </sheetViews>
  <sheetFormatPr defaultRowHeight="15" x14ac:dyDescent="0.25"/>
  <sheetData>
    <row r="12" spans="13:19" ht="18.75" x14ac:dyDescent="0.3">
      <c r="M12" s="161"/>
    </row>
    <row r="14" spans="13:19" x14ac:dyDescent="0.25">
      <c r="M14" s="126" t="s">
        <v>114</v>
      </c>
      <c r="N14" s="119"/>
      <c r="O14" s="119"/>
      <c r="P14" s="119"/>
      <c r="Q14" s="119"/>
      <c r="R14" s="119"/>
      <c r="S14" s="120"/>
    </row>
    <row r="15" spans="13:19" x14ac:dyDescent="0.25">
      <c r="M15" s="123" t="s">
        <v>113</v>
      </c>
      <c r="N15" s="124"/>
      <c r="O15" s="124"/>
      <c r="P15" s="124"/>
      <c r="Q15" s="124"/>
      <c r="R15" s="124"/>
      <c r="S15" s="12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102" r:id="rId4">
          <object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10</xdr:col>
                <xdr:colOff>457200</xdr:colOff>
                <xdr:row>50</xdr:row>
                <xdr:rowOff>180975</xdr:rowOff>
              </to>
            </anchor>
          </objectPr>
        </oleObject>
      </mc:Choice>
      <mc:Fallback>
        <oleObject progId="Document" shapeId="4102" r:id="rId4"/>
      </mc:Fallback>
    </mc:AlternateContent>
    <mc:AlternateContent xmlns:mc="http://schemas.openxmlformats.org/markup-compatibility/2006">
      <mc:Choice Requires="x14">
        <oleObject progId="Document" dvAspect="DVASPECT_ICON" shapeId="4104" r:id="rId6">
          <objectPr defaultSize="0" r:id="rId7">
            <anchor moveWithCells="1">
              <from>
                <xdr:col>12</xdr:col>
                <xdr:colOff>0</xdr:colOff>
                <xdr:row>3</xdr:row>
                <xdr:rowOff>0</xdr:rowOff>
              </from>
              <to>
                <xdr:col>13</xdr:col>
                <xdr:colOff>304800</xdr:colOff>
                <xdr:row>6</xdr:row>
                <xdr:rowOff>114300</xdr:rowOff>
              </to>
            </anchor>
          </objectPr>
        </oleObject>
      </mc:Choice>
      <mc:Fallback>
        <oleObject progId="Document" dvAspect="DVASPECT_ICON" shapeId="4104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6"/>
  <sheetViews>
    <sheetView zoomScale="80" zoomScaleNormal="80" workbookViewId="0">
      <selection activeCell="F6" sqref="F6:F13"/>
    </sheetView>
  </sheetViews>
  <sheetFormatPr defaultRowHeight="15" x14ac:dyDescent="0.25"/>
  <cols>
    <col min="1" max="1" width="9.140625" style="45"/>
    <col min="2" max="2" width="35" bestFit="1" customWidth="1"/>
    <col min="3" max="3" width="33" bestFit="1" customWidth="1"/>
    <col min="4" max="4" width="62.85546875" bestFit="1" customWidth="1"/>
    <col min="5" max="5" width="60.140625" bestFit="1" customWidth="1"/>
    <col min="6" max="6" width="9.5703125" bestFit="1" customWidth="1"/>
    <col min="7" max="7" width="43.85546875" customWidth="1"/>
    <col min="8" max="8" width="33" customWidth="1"/>
    <col min="10" max="10" width="14" customWidth="1"/>
    <col min="11" max="11" width="9" customWidth="1"/>
    <col min="12" max="12" width="14" customWidth="1"/>
  </cols>
  <sheetData>
    <row r="1" spans="1:19" ht="15.75" thickBot="1" x14ac:dyDescent="0.3"/>
    <row r="2" spans="1:19" s="14" customFormat="1" ht="15.75" thickBot="1" x14ac:dyDescent="0.3">
      <c r="A2" s="45"/>
      <c r="B2" s="187" t="s">
        <v>27</v>
      </c>
      <c r="C2" s="188"/>
      <c r="D2" s="188"/>
      <c r="E2" s="188"/>
      <c r="F2" s="189"/>
      <c r="G2" s="5"/>
      <c r="H2" s="5"/>
      <c r="I2" s="5"/>
      <c r="J2" s="5"/>
    </row>
    <row r="3" spans="1:19" s="14" customFormat="1" x14ac:dyDescent="0.25">
      <c r="A3" s="45"/>
    </row>
    <row r="4" spans="1:19" s="14" customFormat="1" x14ac:dyDescent="0.25">
      <c r="A4" s="45"/>
      <c r="B4" s="4" t="s">
        <v>0</v>
      </c>
      <c r="C4" s="3"/>
      <c r="D4" s="3"/>
      <c r="E4" s="3"/>
      <c r="F4" s="3"/>
      <c r="G4" s="45"/>
    </row>
    <row r="5" spans="1:19" s="14" customFormat="1" x14ac:dyDescent="0.25">
      <c r="A5" s="45"/>
      <c r="B5" s="6"/>
      <c r="C5" s="6"/>
      <c r="D5" s="6"/>
      <c r="E5" s="6"/>
      <c r="F5" s="6"/>
      <c r="G5" s="148" t="s">
        <v>106</v>
      </c>
      <c r="H5" s="148" t="s">
        <v>107</v>
      </c>
      <c r="I5" s="1" t="s">
        <v>3</v>
      </c>
    </row>
    <row r="6" spans="1:19" s="14" customFormat="1" x14ac:dyDescent="0.25">
      <c r="A6" s="45"/>
      <c r="B6" s="190" t="s">
        <v>1</v>
      </c>
      <c r="C6" s="10" t="s">
        <v>2</v>
      </c>
      <c r="D6" s="10"/>
      <c r="E6" s="10"/>
      <c r="F6" s="9">
        <v>617</v>
      </c>
      <c r="G6" s="137">
        <f>F6/F19</f>
        <v>0.33496199782844732</v>
      </c>
      <c r="H6" s="137">
        <f>F6/F27</f>
        <v>0.22767527675276752</v>
      </c>
      <c r="I6" s="8" t="s">
        <v>4</v>
      </c>
      <c r="J6" s="8"/>
      <c r="K6" s="8"/>
      <c r="L6" s="8"/>
    </row>
    <row r="7" spans="1:19" s="14" customFormat="1" x14ac:dyDescent="0.25">
      <c r="A7" s="45"/>
      <c r="B7" s="191"/>
      <c r="C7" s="6" t="s">
        <v>5</v>
      </c>
      <c r="D7" s="6"/>
      <c r="E7" s="6"/>
      <c r="F7" s="7">
        <v>175</v>
      </c>
      <c r="G7" s="136">
        <f>F7/F19</f>
        <v>9.5005428881650381E-2</v>
      </c>
      <c r="H7" s="136">
        <f>F7/F27</f>
        <v>6.4575645756457564E-2</v>
      </c>
      <c r="I7" s="14" t="s">
        <v>6</v>
      </c>
    </row>
    <row r="8" spans="1:19" s="14" customFormat="1" x14ac:dyDescent="0.25">
      <c r="A8" s="45"/>
      <c r="B8" s="191"/>
      <c r="C8" s="10" t="s">
        <v>7</v>
      </c>
      <c r="D8" s="10"/>
      <c r="E8" s="10"/>
      <c r="F8" s="9">
        <v>150</v>
      </c>
      <c r="G8" s="137">
        <f>F8/F19</f>
        <v>8.143322475570032E-2</v>
      </c>
      <c r="H8" s="137">
        <f>F8/F27</f>
        <v>5.5350553505535055E-2</v>
      </c>
      <c r="I8" s="8" t="s">
        <v>8</v>
      </c>
      <c r="J8" s="8"/>
      <c r="K8" s="8"/>
      <c r="L8" s="8"/>
    </row>
    <row r="9" spans="1:19" s="14" customFormat="1" x14ac:dyDescent="0.25">
      <c r="A9" s="45"/>
      <c r="B9" s="191"/>
      <c r="C9" s="6" t="s">
        <v>9</v>
      </c>
      <c r="D9" s="6"/>
      <c r="E9" s="6"/>
      <c r="F9" s="7">
        <v>50</v>
      </c>
      <c r="G9" s="136">
        <f>F9/F19</f>
        <v>2.714440825190011E-2</v>
      </c>
      <c r="H9" s="136">
        <f>F9/F27</f>
        <v>1.8450184501845018E-2</v>
      </c>
      <c r="I9" s="14" t="s">
        <v>10</v>
      </c>
    </row>
    <row r="10" spans="1:19" s="14" customFormat="1" x14ac:dyDescent="0.25">
      <c r="A10" s="45"/>
      <c r="B10" s="191"/>
      <c r="C10" s="10" t="s">
        <v>11</v>
      </c>
      <c r="D10" s="10" t="s">
        <v>12</v>
      </c>
      <c r="E10" s="10" t="s">
        <v>26</v>
      </c>
      <c r="F10" s="9">
        <f>40*15</f>
        <v>600</v>
      </c>
      <c r="G10" s="137">
        <f>F10/F19</f>
        <v>0.32573289902280128</v>
      </c>
      <c r="H10" s="137">
        <f>F10/F27</f>
        <v>0.22140221402214022</v>
      </c>
      <c r="I10" s="8" t="s">
        <v>13</v>
      </c>
      <c r="J10" s="8"/>
      <c r="K10" s="8"/>
      <c r="L10" s="8"/>
      <c r="M10" s="8"/>
      <c r="N10" s="8"/>
      <c r="O10" s="8"/>
      <c r="P10" s="8"/>
      <c r="Q10" s="8"/>
    </row>
    <row r="11" spans="1:19" s="14" customFormat="1" x14ac:dyDescent="0.25">
      <c r="A11" s="45"/>
      <c r="B11" s="191"/>
      <c r="C11" s="6" t="s">
        <v>14</v>
      </c>
      <c r="D11" s="6"/>
      <c r="E11" s="6"/>
      <c r="F11" s="7">
        <v>100</v>
      </c>
      <c r="G11" s="136">
        <f>F11/F19</f>
        <v>5.428881650380022E-2</v>
      </c>
      <c r="H11" s="136">
        <f>F11/F27</f>
        <v>3.6900369003690037E-2</v>
      </c>
      <c r="I11" s="14" t="s">
        <v>15</v>
      </c>
    </row>
    <row r="12" spans="1:19" s="14" customFormat="1" x14ac:dyDescent="0.25">
      <c r="A12" s="45"/>
      <c r="B12" s="191"/>
      <c r="C12" s="10" t="s">
        <v>16</v>
      </c>
      <c r="D12" s="10"/>
      <c r="E12" s="10"/>
      <c r="F12" s="9">
        <v>50</v>
      </c>
      <c r="G12" s="137">
        <f>F12/F19</f>
        <v>2.714440825190011E-2</v>
      </c>
      <c r="H12" s="137">
        <f>F12/F27</f>
        <v>1.8450184501845018E-2</v>
      </c>
      <c r="I12" s="8" t="s">
        <v>17</v>
      </c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14" customFormat="1" x14ac:dyDescent="0.25">
      <c r="A13" s="45"/>
      <c r="B13" s="191"/>
      <c r="C13" s="6" t="s">
        <v>18</v>
      </c>
      <c r="D13" s="6"/>
      <c r="E13" s="6"/>
      <c r="F13" s="7">
        <v>100</v>
      </c>
      <c r="G13" s="138">
        <f>F13/F19</f>
        <v>5.428881650380022E-2</v>
      </c>
      <c r="H13" s="138">
        <f>F13/F27</f>
        <v>3.6900369003690037E-2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s="14" customFormat="1" x14ac:dyDescent="0.25">
      <c r="A14" s="45"/>
      <c r="B14" s="191"/>
      <c r="C14" s="10"/>
      <c r="D14" s="10"/>
      <c r="E14" s="10"/>
      <c r="F14" s="9"/>
      <c r="G14" s="21"/>
      <c r="H14" s="5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4" customFormat="1" x14ac:dyDescent="0.25">
      <c r="A15" s="45"/>
      <c r="B15" s="191"/>
      <c r="C15" s="16"/>
      <c r="D15" s="16"/>
      <c r="E15" s="16"/>
      <c r="F15" s="16"/>
      <c r="G15" s="21"/>
      <c r="H15" s="5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s="14" customFormat="1" x14ac:dyDescent="0.25">
      <c r="A16" s="45"/>
      <c r="B16" s="191"/>
      <c r="C16" s="10"/>
      <c r="D16" s="10"/>
      <c r="E16" s="10"/>
      <c r="F16" s="9"/>
      <c r="G16" s="21"/>
      <c r="H16" s="5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4" customFormat="1" x14ac:dyDescent="0.25">
      <c r="A17" s="45"/>
      <c r="B17" s="191"/>
      <c r="C17" s="16"/>
      <c r="D17" s="16"/>
      <c r="E17" s="16"/>
      <c r="F17" s="16"/>
      <c r="G17" s="21"/>
      <c r="H17" s="5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s="14" customFormat="1" x14ac:dyDescent="0.25">
      <c r="A18" s="45"/>
      <c r="B18" s="191"/>
      <c r="C18" s="10"/>
      <c r="D18" s="10"/>
      <c r="E18" s="10"/>
      <c r="F18" s="9"/>
      <c r="G18" s="21"/>
      <c r="H18" s="5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s="14" customFormat="1" ht="15.75" thickBot="1" x14ac:dyDescent="0.3">
      <c r="A19" s="45"/>
      <c r="B19" s="192"/>
      <c r="C19" s="18"/>
      <c r="D19" s="18"/>
      <c r="E19" s="19" t="s">
        <v>30</v>
      </c>
      <c r="F19" s="20">
        <f>SUM(F6:F18)</f>
        <v>1842</v>
      </c>
      <c r="G19" s="136">
        <f>SUM(G5:G18)</f>
        <v>1</v>
      </c>
      <c r="H19" s="136">
        <f>SUM(H6:H18)</f>
        <v>0.67970479704797038</v>
      </c>
      <c r="I19" s="14" t="s">
        <v>19</v>
      </c>
    </row>
    <row r="20" spans="1:19" s="14" customFormat="1" x14ac:dyDescent="0.25">
      <c r="A20" s="45"/>
      <c r="B20" s="190" t="s">
        <v>32</v>
      </c>
      <c r="C20" s="17"/>
      <c r="D20" s="17"/>
      <c r="E20" s="17"/>
      <c r="F20" s="17"/>
      <c r="H20" s="45"/>
    </row>
    <row r="21" spans="1:19" s="14" customFormat="1" ht="15.75" thickBot="1" x14ac:dyDescent="0.3">
      <c r="A21" s="45"/>
      <c r="B21" s="192"/>
      <c r="C21" s="18"/>
      <c r="D21" s="18"/>
      <c r="E21" s="18"/>
      <c r="F21" s="18"/>
      <c r="G21" s="151" t="s">
        <v>108</v>
      </c>
      <c r="H21" s="151" t="s">
        <v>107</v>
      </c>
      <c r="I21" s="149" t="s">
        <v>3</v>
      </c>
    </row>
    <row r="22" spans="1:19" s="14" customFormat="1" x14ac:dyDescent="0.25">
      <c r="A22" s="45"/>
      <c r="B22" s="190" t="s">
        <v>98</v>
      </c>
      <c r="C22" s="17" t="s">
        <v>21</v>
      </c>
      <c r="D22" s="17" t="s">
        <v>82</v>
      </c>
      <c r="E22" s="17" t="s">
        <v>79</v>
      </c>
      <c r="F22" s="87">
        <f>1.5*52*7.75</f>
        <v>604.5</v>
      </c>
      <c r="G22" s="137">
        <f>F22/F26</f>
        <v>0.6964285714285714</v>
      </c>
      <c r="H22" s="137">
        <f>F22/F27</f>
        <v>0.22306273062730628</v>
      </c>
      <c r="I22" s="8" t="s">
        <v>22</v>
      </c>
      <c r="J22" s="8"/>
      <c r="K22" s="8"/>
      <c r="L22" s="8"/>
      <c r="M22" s="8"/>
    </row>
    <row r="23" spans="1:19" s="14" customFormat="1" x14ac:dyDescent="0.25">
      <c r="A23" s="45"/>
      <c r="B23" s="191"/>
      <c r="C23" s="6" t="s">
        <v>23</v>
      </c>
      <c r="D23" s="6" t="s">
        <v>83</v>
      </c>
      <c r="E23" s="6" t="s">
        <v>80</v>
      </c>
      <c r="F23" s="7">
        <f>0.5*52*7.75</f>
        <v>201.5</v>
      </c>
      <c r="G23" s="136">
        <f>F23/F26</f>
        <v>0.23214285714285715</v>
      </c>
      <c r="H23" s="136">
        <f>F23/F27</f>
        <v>7.435424354243543E-2</v>
      </c>
      <c r="I23" s="14" t="s">
        <v>24</v>
      </c>
    </row>
    <row r="24" spans="1:19" s="14" customFormat="1" x14ac:dyDescent="0.25">
      <c r="A24" s="45"/>
      <c r="B24" s="191"/>
      <c r="C24" s="10" t="s">
        <v>25</v>
      </c>
      <c r="D24" s="10" t="s">
        <v>84</v>
      </c>
      <c r="E24" s="10" t="s">
        <v>81</v>
      </c>
      <c r="F24" s="9">
        <f>4*2*7.75</f>
        <v>62</v>
      </c>
      <c r="G24" s="137">
        <f>F24/F26</f>
        <v>7.1428571428571425E-2</v>
      </c>
      <c r="H24" s="137">
        <f>F24/F27</f>
        <v>2.2878228782287822E-2</v>
      </c>
      <c r="I24" s="8"/>
      <c r="J24" s="8"/>
      <c r="K24" s="8"/>
      <c r="L24" s="8"/>
      <c r="M24" s="8"/>
    </row>
    <row r="25" spans="1:19" s="14" customFormat="1" x14ac:dyDescent="0.25">
      <c r="A25" s="45"/>
      <c r="B25" s="191"/>
      <c r="C25" s="6"/>
      <c r="D25" s="6"/>
      <c r="E25" s="6"/>
      <c r="F25" s="6"/>
      <c r="H25" s="45"/>
    </row>
    <row r="26" spans="1:19" s="14" customFormat="1" ht="15.75" thickBot="1" x14ac:dyDescent="0.3">
      <c r="A26" s="45"/>
      <c r="B26" s="192"/>
      <c r="C26" s="18"/>
      <c r="D26" s="18"/>
      <c r="E26" s="19" t="s">
        <v>31</v>
      </c>
      <c r="F26" s="22">
        <f>SUM(F22:F25)</f>
        <v>868</v>
      </c>
      <c r="G26" s="136">
        <f>SUM(G22:G25)</f>
        <v>1</v>
      </c>
      <c r="H26" s="136">
        <f>SUM(H22:H25)</f>
        <v>0.32029520295202957</v>
      </c>
    </row>
    <row r="27" spans="1:19" s="14" customFormat="1" x14ac:dyDescent="0.25">
      <c r="A27" s="45"/>
      <c r="B27" s="4"/>
      <c r="C27" s="3"/>
      <c r="D27" s="3"/>
      <c r="E27" s="3"/>
      <c r="F27" s="2">
        <f>SUM(F19,F26)</f>
        <v>2710</v>
      </c>
      <c r="G27" s="11"/>
      <c r="H27" s="139">
        <f>SUM(H19,H26)</f>
        <v>1</v>
      </c>
    </row>
    <row r="31" spans="1:19" x14ac:dyDescent="0.25">
      <c r="B31" s="126"/>
      <c r="C31" s="119"/>
      <c r="D31" s="127" t="s">
        <v>85</v>
      </c>
      <c r="E31" s="127" t="s">
        <v>86</v>
      </c>
      <c r="F31" s="127" t="s">
        <v>87</v>
      </c>
      <c r="G31" s="127" t="s">
        <v>88</v>
      </c>
      <c r="H31" s="119"/>
      <c r="I31" s="119" t="s">
        <v>47</v>
      </c>
      <c r="J31" s="119" t="s">
        <v>48</v>
      </c>
      <c r="K31" s="119"/>
      <c r="L31" s="120"/>
    </row>
    <row r="32" spans="1:19" x14ac:dyDescent="0.25">
      <c r="B32" s="128" t="s">
        <v>46</v>
      </c>
      <c r="C32" s="41">
        <v>2007</v>
      </c>
      <c r="D32" s="41">
        <v>3.71</v>
      </c>
      <c r="E32" s="41">
        <v>3.39</v>
      </c>
      <c r="F32" s="41">
        <v>3.82</v>
      </c>
      <c r="G32" s="41">
        <v>4.24</v>
      </c>
      <c r="H32" s="41"/>
      <c r="I32" s="41">
        <f>AVERAGE(D32:G32)</f>
        <v>3.79</v>
      </c>
      <c r="J32" s="41"/>
      <c r="K32" s="41"/>
      <c r="L32" s="122"/>
    </row>
    <row r="33" spans="2:12" x14ac:dyDescent="0.25">
      <c r="B33" s="121"/>
      <c r="C33" s="41">
        <v>2008</v>
      </c>
      <c r="D33" s="41">
        <v>4.84</v>
      </c>
      <c r="E33" s="41">
        <v>4.51</v>
      </c>
      <c r="F33" s="41">
        <v>4.7699999999999996</v>
      </c>
      <c r="G33" s="41">
        <v>4.7699999999999996</v>
      </c>
      <c r="H33" s="41"/>
      <c r="I33" s="163">
        <f t="shared" ref="I33:I35" si="0">AVERAGE(D33:G33)</f>
        <v>4.7225000000000001</v>
      </c>
      <c r="J33" s="163">
        <f>((I33-I32)/I32)</f>
        <v>0.24604221635883908</v>
      </c>
      <c r="K33" s="41"/>
      <c r="L33" s="122"/>
    </row>
    <row r="34" spans="2:12" x14ac:dyDescent="0.25">
      <c r="B34" s="121"/>
      <c r="C34" s="41">
        <v>2009</v>
      </c>
      <c r="D34" s="41">
        <v>4.7699999999999996</v>
      </c>
      <c r="E34" s="41">
        <v>3.92</v>
      </c>
      <c r="F34" s="41">
        <v>4.74</v>
      </c>
      <c r="G34" s="41">
        <v>3.92</v>
      </c>
      <c r="H34" s="41"/>
      <c r="I34" s="163">
        <f t="shared" si="0"/>
        <v>4.3375000000000004</v>
      </c>
      <c r="J34" s="163">
        <f t="shared" ref="J34:J35" si="1">((I34-I33)/I33)</f>
        <v>-8.1524616199047065E-2</v>
      </c>
      <c r="K34" s="41"/>
      <c r="L34" s="122"/>
    </row>
    <row r="35" spans="2:12" x14ac:dyDescent="0.25">
      <c r="B35" s="121"/>
      <c r="C35" s="41">
        <v>2010</v>
      </c>
      <c r="D35" s="41">
        <v>3.92</v>
      </c>
      <c r="E35" s="41">
        <v>4.4000000000000004</v>
      </c>
      <c r="F35" s="41">
        <v>4.4000000000000004</v>
      </c>
      <c r="G35" s="41">
        <v>4.1900000000000004</v>
      </c>
      <c r="H35" s="41"/>
      <c r="I35" s="163">
        <f t="shared" si="0"/>
        <v>4.2275</v>
      </c>
      <c r="J35" s="163">
        <f t="shared" si="1"/>
        <v>-2.5360230547550502E-2</v>
      </c>
      <c r="K35" s="41"/>
      <c r="L35" s="122"/>
    </row>
    <row r="36" spans="2:12" x14ac:dyDescent="0.25">
      <c r="B36" s="121"/>
      <c r="C36" s="41"/>
      <c r="D36" s="41"/>
      <c r="E36" s="41"/>
      <c r="F36" s="41"/>
      <c r="G36" s="41"/>
      <c r="H36" s="41"/>
      <c r="I36" s="41"/>
      <c r="J36" s="41"/>
      <c r="K36" s="41"/>
      <c r="L36" s="122"/>
    </row>
    <row r="37" spans="2:12" x14ac:dyDescent="0.25">
      <c r="B37" s="121"/>
      <c r="C37" s="41"/>
      <c r="D37" s="41"/>
      <c r="E37" s="41"/>
      <c r="F37" s="41"/>
      <c r="G37" s="41"/>
      <c r="H37" s="41"/>
      <c r="I37" s="41"/>
      <c r="J37" s="41"/>
      <c r="K37" s="41"/>
      <c r="L37" s="122"/>
    </row>
    <row r="38" spans="2:12" x14ac:dyDescent="0.25">
      <c r="B38" s="123"/>
      <c r="C38" s="124"/>
      <c r="D38" s="124"/>
      <c r="E38" s="124"/>
      <c r="F38" s="124"/>
      <c r="G38" s="124"/>
      <c r="H38" s="124" t="s">
        <v>75</v>
      </c>
      <c r="I38" s="165">
        <f>AVERAGE(I32:I35)</f>
        <v>4.2693750000000001</v>
      </c>
      <c r="J38" s="164">
        <f>AVERAGE(J33:J35)</f>
        <v>4.6385789870747172E-2</v>
      </c>
      <c r="K38" s="124" t="s">
        <v>69</v>
      </c>
      <c r="L38" s="125"/>
    </row>
    <row r="39" spans="2:12" s="45" customFormat="1" x14ac:dyDescent="0.25">
      <c r="I39" s="50"/>
      <c r="J39" s="50"/>
    </row>
    <row r="42" spans="2:12" x14ac:dyDescent="0.25">
      <c r="B42" s="193" t="s">
        <v>78</v>
      </c>
      <c r="C42" s="194"/>
    </row>
    <row r="43" spans="2:12" x14ac:dyDescent="0.25">
      <c r="B43" s="134" t="s">
        <v>76</v>
      </c>
      <c r="C43" s="135" t="s">
        <v>77</v>
      </c>
      <c r="D43" s="45"/>
      <c r="E43" s="45"/>
      <c r="F43" s="45"/>
      <c r="G43" s="45"/>
      <c r="H43" s="45"/>
      <c r="I43" s="45"/>
      <c r="J43" s="45"/>
      <c r="K43" s="45"/>
      <c r="L43" s="45"/>
    </row>
    <row r="44" spans="2:12" x14ac:dyDescent="0.25">
      <c r="B44" s="117">
        <v>2010</v>
      </c>
      <c r="C44" s="86">
        <v>1.8</v>
      </c>
      <c r="D44" s="45"/>
      <c r="E44" s="45"/>
      <c r="F44" s="45"/>
      <c r="G44" s="45"/>
      <c r="H44" s="45"/>
      <c r="I44" s="45"/>
      <c r="J44" s="45"/>
      <c r="K44" s="45"/>
      <c r="L44" s="45"/>
    </row>
    <row r="45" spans="2:12" x14ac:dyDescent="0.25">
      <c r="B45" s="117">
        <v>2009</v>
      </c>
      <c r="C45" s="86">
        <v>1.2</v>
      </c>
      <c r="D45" s="45"/>
      <c r="E45" s="45"/>
      <c r="F45" s="45"/>
      <c r="G45" s="47"/>
      <c r="H45" s="45"/>
      <c r="I45" s="45"/>
      <c r="J45" s="45"/>
      <c r="K45" s="45"/>
      <c r="L45" s="45"/>
    </row>
    <row r="46" spans="2:12" x14ac:dyDescent="0.25">
      <c r="B46" s="117">
        <v>2008</v>
      </c>
      <c r="C46" s="86">
        <v>4.5999999999999996</v>
      </c>
      <c r="D46" s="45"/>
      <c r="E46" s="45"/>
      <c r="F46" s="45"/>
      <c r="G46" s="45"/>
      <c r="H46" s="45"/>
      <c r="I46" s="45"/>
      <c r="J46" s="45"/>
      <c r="K46" s="45"/>
      <c r="L46" s="45"/>
    </row>
    <row r="47" spans="2:12" x14ac:dyDescent="0.25">
      <c r="B47" s="117">
        <v>2007</v>
      </c>
      <c r="C47" s="86">
        <v>2.2000000000000002</v>
      </c>
      <c r="D47" s="45"/>
      <c r="E47" s="45"/>
      <c r="F47" s="45"/>
      <c r="H47" s="45"/>
      <c r="I47" s="45"/>
      <c r="J47" s="45"/>
      <c r="K47" s="45"/>
      <c r="L47" s="45"/>
    </row>
    <row r="48" spans="2:12" x14ac:dyDescent="0.25">
      <c r="B48" s="117">
        <v>2006</v>
      </c>
      <c r="C48" s="86">
        <v>3.2</v>
      </c>
      <c r="D48" s="45"/>
      <c r="E48" s="45"/>
      <c r="F48" s="45"/>
      <c r="G48" s="45"/>
      <c r="H48" s="45"/>
      <c r="I48" s="45"/>
      <c r="J48" s="45"/>
      <c r="K48" s="45"/>
      <c r="L48" s="45"/>
    </row>
    <row r="49" spans="2:12" x14ac:dyDescent="0.25">
      <c r="B49" s="117">
        <v>2005</v>
      </c>
      <c r="C49" s="86">
        <v>3.1</v>
      </c>
      <c r="D49" s="45"/>
      <c r="E49" s="45"/>
      <c r="F49" s="45"/>
      <c r="G49" s="45"/>
      <c r="H49" s="45"/>
      <c r="I49" s="45"/>
      <c r="J49" s="45"/>
      <c r="K49" s="45"/>
      <c r="L49" s="45"/>
    </row>
    <row r="50" spans="2:12" x14ac:dyDescent="0.25">
      <c r="B50" s="117">
        <v>2004</v>
      </c>
      <c r="C50" s="86">
        <v>2.6</v>
      </c>
      <c r="D50" s="45"/>
      <c r="E50" s="45"/>
      <c r="F50" s="45"/>
      <c r="G50" s="45"/>
      <c r="H50" s="45"/>
      <c r="I50" s="45"/>
      <c r="J50" s="45"/>
      <c r="K50" s="45"/>
      <c r="L50" s="45"/>
    </row>
    <row r="51" spans="2:12" x14ac:dyDescent="0.25">
      <c r="B51" s="117">
        <v>2003</v>
      </c>
      <c r="C51" s="86">
        <v>2.7</v>
      </c>
      <c r="D51" s="45"/>
      <c r="E51" s="45"/>
      <c r="F51" s="45"/>
      <c r="G51" s="45"/>
      <c r="H51" s="45"/>
      <c r="I51" s="45"/>
      <c r="J51" s="45"/>
      <c r="K51" s="45"/>
      <c r="L51" s="45"/>
    </row>
    <row r="52" spans="2:12" x14ac:dyDescent="0.25">
      <c r="B52" s="117">
        <v>2002</v>
      </c>
      <c r="C52" s="86">
        <v>1.9</v>
      </c>
      <c r="D52" s="45"/>
      <c r="E52" s="45"/>
      <c r="F52" s="45"/>
      <c r="G52" s="45"/>
      <c r="H52" s="45"/>
      <c r="I52" s="45"/>
      <c r="J52" s="45"/>
      <c r="K52" s="45"/>
      <c r="L52" s="45"/>
    </row>
    <row r="53" spans="2:12" x14ac:dyDescent="0.25">
      <c r="B53" s="117">
        <v>2001</v>
      </c>
      <c r="C53" s="86">
        <v>2.8</v>
      </c>
      <c r="D53" s="48"/>
      <c r="E53" s="49"/>
      <c r="F53" s="46"/>
      <c r="G53" s="46"/>
      <c r="H53" s="45"/>
      <c r="I53" s="45"/>
      <c r="J53" s="45"/>
      <c r="K53" s="45"/>
      <c r="L53" s="45"/>
    </row>
    <row r="54" spans="2:12" x14ac:dyDescent="0.25">
      <c r="B54" s="117">
        <v>2000</v>
      </c>
      <c r="C54" s="86">
        <v>1.7</v>
      </c>
      <c r="D54" s="46"/>
      <c r="E54" s="46"/>
      <c r="F54" s="46"/>
      <c r="G54" s="46"/>
      <c r="H54" s="45"/>
      <c r="I54" s="45"/>
      <c r="J54" s="45"/>
      <c r="K54" s="45"/>
      <c r="L54" s="45"/>
    </row>
    <row r="55" spans="2:12" x14ac:dyDescent="0.25">
      <c r="B55" s="117">
        <v>1999</v>
      </c>
      <c r="C55" s="86">
        <v>1</v>
      </c>
      <c r="D55" s="46"/>
      <c r="E55" s="46"/>
      <c r="F55" s="46"/>
      <c r="G55" s="46"/>
      <c r="H55" s="45"/>
      <c r="I55" s="45"/>
      <c r="J55" s="45"/>
      <c r="K55" s="45"/>
      <c r="L55" s="45"/>
    </row>
    <row r="56" spans="2:12" x14ac:dyDescent="0.25">
      <c r="B56" s="117">
        <v>1998</v>
      </c>
      <c r="C56" s="86">
        <v>1.5</v>
      </c>
      <c r="D56" s="46"/>
      <c r="E56" s="46"/>
      <c r="F56" s="46"/>
      <c r="G56" s="46"/>
      <c r="H56" s="45"/>
      <c r="I56" s="45"/>
      <c r="J56" s="45"/>
      <c r="K56" s="45"/>
      <c r="L56" s="45"/>
    </row>
    <row r="57" spans="2:12" x14ac:dyDescent="0.25">
      <c r="B57" s="117">
        <v>1997</v>
      </c>
      <c r="C57" s="86">
        <v>1.5</v>
      </c>
      <c r="D57" s="46"/>
      <c r="E57" s="46"/>
      <c r="F57" s="46"/>
      <c r="G57" s="46"/>
      <c r="H57" s="45"/>
      <c r="I57" s="45"/>
      <c r="J57" s="45"/>
      <c r="K57" s="45"/>
      <c r="L57" s="45"/>
    </row>
    <row r="58" spans="2:12" x14ac:dyDescent="0.25">
      <c r="B58" s="117">
        <v>1996</v>
      </c>
      <c r="C58" s="86">
        <v>2.7</v>
      </c>
      <c r="D58" s="46"/>
      <c r="E58" s="46"/>
      <c r="F58" s="46"/>
      <c r="G58" s="46"/>
      <c r="H58" s="45"/>
      <c r="I58" s="45"/>
      <c r="J58" s="45"/>
      <c r="K58" s="45"/>
      <c r="L58" s="45"/>
    </row>
    <row r="59" spans="2:12" x14ac:dyDescent="0.25">
      <c r="B59" s="117">
        <v>1995</v>
      </c>
      <c r="C59" s="86">
        <v>2.9</v>
      </c>
      <c r="D59" s="46"/>
      <c r="E59" s="46"/>
      <c r="F59" s="46"/>
      <c r="G59" s="46"/>
      <c r="H59" s="45"/>
      <c r="I59" s="45"/>
      <c r="J59" s="45"/>
      <c r="K59" s="45"/>
      <c r="L59" s="45"/>
    </row>
    <row r="60" spans="2:12" x14ac:dyDescent="0.25">
      <c r="B60" s="117">
        <v>1994</v>
      </c>
      <c r="C60" s="86">
        <v>2.1</v>
      </c>
      <c r="D60" s="46"/>
      <c r="E60" s="46"/>
      <c r="F60" s="46"/>
      <c r="G60" s="46"/>
      <c r="H60" s="45"/>
      <c r="I60" s="45"/>
      <c r="J60" s="45"/>
      <c r="K60" s="45"/>
      <c r="L60" s="45"/>
    </row>
    <row r="61" spans="2:12" x14ac:dyDescent="0.25">
      <c r="B61" s="117">
        <v>1993</v>
      </c>
      <c r="C61" s="86">
        <v>3.1</v>
      </c>
      <c r="D61" s="46"/>
      <c r="E61" s="46"/>
      <c r="F61" s="46"/>
      <c r="G61" s="46"/>
      <c r="H61" s="45"/>
      <c r="I61" s="45"/>
      <c r="J61" s="45"/>
      <c r="K61" s="45"/>
      <c r="L61" s="45"/>
    </row>
    <row r="62" spans="2:12" x14ac:dyDescent="0.25">
      <c r="B62" s="117">
        <v>1992</v>
      </c>
      <c r="C62" s="86">
        <v>3.4</v>
      </c>
      <c r="D62" s="46"/>
      <c r="E62" s="46"/>
      <c r="F62" s="46"/>
      <c r="G62" s="46"/>
      <c r="H62" s="45"/>
      <c r="I62" s="45"/>
      <c r="J62" s="45"/>
      <c r="K62" s="45"/>
      <c r="L62" s="45"/>
    </row>
    <row r="63" spans="2:12" x14ac:dyDescent="0.25">
      <c r="B63" s="129">
        <v>1991</v>
      </c>
      <c r="C63" s="130">
        <v>4.5999999999999996</v>
      </c>
      <c r="D63" s="48"/>
      <c r="E63" s="49"/>
      <c r="F63" s="46"/>
      <c r="G63" s="46"/>
      <c r="H63" s="45"/>
      <c r="I63" s="45"/>
      <c r="J63" s="45"/>
      <c r="K63" s="45"/>
      <c r="L63" s="45"/>
    </row>
    <row r="64" spans="2:12" x14ac:dyDescent="0.25">
      <c r="B64" s="117"/>
      <c r="C64" s="86"/>
      <c r="D64" s="45"/>
      <c r="E64" s="45"/>
      <c r="F64" s="45"/>
      <c r="G64" s="45"/>
      <c r="H64" s="45"/>
      <c r="I64" s="45"/>
      <c r="J64" s="45"/>
      <c r="K64" s="45"/>
      <c r="L64" s="45"/>
    </row>
    <row r="65" spans="2:6" x14ac:dyDescent="0.25">
      <c r="B65" s="118" t="s">
        <v>47</v>
      </c>
      <c r="C65" s="133">
        <f>AVERAGE(C44:C63)</f>
        <v>2.5300000000000002</v>
      </c>
    </row>
    <row r="70" spans="2:6" x14ac:dyDescent="0.25">
      <c r="B70" s="184" t="s">
        <v>103</v>
      </c>
      <c r="C70" s="185"/>
      <c r="D70" s="185"/>
      <c r="E70" s="185"/>
      <c r="F70" s="186"/>
    </row>
    <row r="71" spans="2:6" x14ac:dyDescent="0.25">
      <c r="B71" s="121"/>
      <c r="C71" s="41"/>
      <c r="D71" s="41"/>
      <c r="E71" s="41"/>
      <c r="F71" s="122"/>
    </row>
    <row r="72" spans="2:6" x14ac:dyDescent="0.25">
      <c r="B72" s="121">
        <v>1</v>
      </c>
      <c r="C72" s="41" t="s">
        <v>29</v>
      </c>
      <c r="D72" s="41" t="s">
        <v>38</v>
      </c>
      <c r="E72" s="41">
        <v>7.48</v>
      </c>
      <c r="F72" s="122" t="s">
        <v>102</v>
      </c>
    </row>
    <row r="73" spans="2:6" x14ac:dyDescent="0.25">
      <c r="B73" s="121">
        <v>1</v>
      </c>
      <c r="C73" s="41" t="s">
        <v>29</v>
      </c>
      <c r="D73" s="41" t="s">
        <v>38</v>
      </c>
      <c r="E73" s="41">
        <v>28.31</v>
      </c>
      <c r="F73" s="122" t="s">
        <v>92</v>
      </c>
    </row>
    <row r="74" spans="2:6" s="45" customFormat="1" x14ac:dyDescent="0.25">
      <c r="B74" s="121"/>
      <c r="C74" s="41"/>
      <c r="D74" s="41"/>
      <c r="E74" s="41"/>
      <c r="F74" s="122"/>
    </row>
    <row r="75" spans="2:6" x14ac:dyDescent="0.25">
      <c r="B75" s="121">
        <v>1</v>
      </c>
      <c r="C75" s="41" t="s">
        <v>92</v>
      </c>
      <c r="D75" s="41" t="s">
        <v>38</v>
      </c>
      <c r="E75" s="131">
        <v>0.26417205199999999</v>
      </c>
      <c r="F75" s="122" t="s">
        <v>91</v>
      </c>
    </row>
    <row r="76" spans="2:6" x14ac:dyDescent="0.25">
      <c r="B76" s="123">
        <v>1</v>
      </c>
      <c r="C76" s="124" t="s">
        <v>92</v>
      </c>
      <c r="D76" s="124" t="s">
        <v>38</v>
      </c>
      <c r="E76" s="132">
        <v>3.5314667000000001E-2</v>
      </c>
      <c r="F76" s="125" t="s">
        <v>29</v>
      </c>
    </row>
  </sheetData>
  <mergeCells count="6">
    <mergeCell ref="B70:F70"/>
    <mergeCell ref="B2:F2"/>
    <mergeCell ref="B6:B19"/>
    <mergeCell ref="B22:B26"/>
    <mergeCell ref="B20:B21"/>
    <mergeCell ref="B42:C4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80"/>
  <sheetViews>
    <sheetView topLeftCell="B1" zoomScale="80" zoomScaleNormal="80" workbookViewId="0">
      <selection activeCell="E28" sqref="E28"/>
    </sheetView>
  </sheetViews>
  <sheetFormatPr defaultRowHeight="15" x14ac:dyDescent="0.25"/>
  <cols>
    <col min="1" max="1" width="9.140625" style="45"/>
    <col min="2" max="2" width="28.85546875" customWidth="1"/>
    <col min="3" max="3" width="42.7109375" style="13" bestFit="1" customWidth="1"/>
    <col min="4" max="4" width="16.140625" customWidth="1"/>
    <col min="5" max="6" width="15.140625" bestFit="1" customWidth="1"/>
    <col min="7" max="7" width="19.28515625" customWidth="1"/>
    <col min="8" max="14" width="15.140625" bestFit="1" customWidth="1"/>
    <col min="15" max="15" width="14.42578125" bestFit="1" customWidth="1"/>
  </cols>
  <sheetData>
    <row r="3" spans="1:11" x14ac:dyDescent="0.25">
      <c r="B3" s="42" t="s">
        <v>20</v>
      </c>
    </row>
    <row r="4" spans="1:11" s="40" customFormat="1" x14ac:dyDescent="0.25">
      <c r="A4" s="45"/>
      <c r="B4" s="42"/>
      <c r="C4" s="59" t="s">
        <v>73</v>
      </c>
      <c r="D4" s="61"/>
      <c r="E4" s="82">
        <v>10</v>
      </c>
      <c r="F4" s="195" t="s">
        <v>71</v>
      </c>
      <c r="G4" s="195"/>
      <c r="H4" s="196"/>
    </row>
    <row r="5" spans="1:11" x14ac:dyDescent="0.25">
      <c r="B5" s="45"/>
      <c r="C5" s="59" t="s">
        <v>72</v>
      </c>
      <c r="D5" s="61"/>
      <c r="E5" s="83">
        <v>0.03</v>
      </c>
      <c r="F5" s="195"/>
      <c r="G5" s="195"/>
      <c r="H5" s="196"/>
    </row>
    <row r="6" spans="1:11" s="14" customFormat="1" x14ac:dyDescent="0.25">
      <c r="A6" s="45"/>
      <c r="C6" s="202" t="s">
        <v>33</v>
      </c>
      <c r="D6" s="203"/>
      <c r="E6" s="82">
        <v>350</v>
      </c>
      <c r="F6" s="195" t="s">
        <v>96</v>
      </c>
      <c r="G6" s="195"/>
      <c r="H6" s="196"/>
    </row>
    <row r="7" spans="1:11" s="14" customFormat="1" x14ac:dyDescent="0.25">
      <c r="A7" s="45"/>
      <c r="C7" s="204"/>
      <c r="D7" s="205"/>
      <c r="E7" s="81">
        <v>2450</v>
      </c>
      <c r="F7" s="195" t="s">
        <v>97</v>
      </c>
      <c r="G7" s="195"/>
      <c r="H7" s="196"/>
    </row>
    <row r="8" spans="1:11" s="45" customFormat="1" ht="30" customHeight="1" x14ac:dyDescent="0.25">
      <c r="C8" s="206" t="s">
        <v>89</v>
      </c>
      <c r="D8" s="207"/>
      <c r="E8" s="168">
        <f>'Assumptions and Raw Data'!$C$65%</f>
        <v>2.5300000000000003E-2</v>
      </c>
      <c r="F8" s="197"/>
      <c r="G8" s="197"/>
      <c r="H8" s="198"/>
    </row>
    <row r="9" spans="1:11" s="14" customFormat="1" x14ac:dyDescent="0.25">
      <c r="A9" s="45"/>
      <c r="C9" s="114" t="s">
        <v>49</v>
      </c>
      <c r="D9" s="115"/>
      <c r="E9" s="114"/>
      <c r="F9" s="116">
        <f>'Assumptions and Raw Data'!$J$38</f>
        <v>4.6385789870747172E-2</v>
      </c>
      <c r="G9" s="84"/>
      <c r="H9" s="85"/>
    </row>
    <row r="10" spans="1:11" s="14" customFormat="1" x14ac:dyDescent="0.25">
      <c r="A10" s="45"/>
      <c r="E10" s="23"/>
      <c r="F10" s="21"/>
    </row>
    <row r="11" spans="1:11" s="33" customFormat="1" x14ac:dyDescent="0.25">
      <c r="A11" s="45"/>
      <c r="C11" s="140" t="s">
        <v>101</v>
      </c>
      <c r="D11" s="142">
        <v>0.9</v>
      </c>
      <c r="E11" s="141"/>
    </row>
    <row r="12" spans="1:11" s="45" customFormat="1" x14ac:dyDescent="0.25">
      <c r="D12" s="12"/>
      <c r="E12" s="27"/>
    </row>
    <row r="13" spans="1:11" s="45" customFormat="1" x14ac:dyDescent="0.25">
      <c r="C13" s="209" t="s">
        <v>105</v>
      </c>
      <c r="D13" s="209"/>
      <c r="E13" s="209"/>
      <c r="F13" s="209"/>
      <c r="G13" s="209"/>
      <c r="H13" s="209"/>
      <c r="I13" s="209"/>
      <c r="J13" s="209"/>
      <c r="K13" s="209"/>
    </row>
    <row r="14" spans="1:11" x14ac:dyDescent="0.25">
      <c r="C14" s="56" t="s">
        <v>54</v>
      </c>
      <c r="D14" s="64" t="s">
        <v>55</v>
      </c>
      <c r="E14" s="58" t="s">
        <v>38</v>
      </c>
      <c r="F14" s="59">
        <f>0.6*1000</f>
        <v>600</v>
      </c>
      <c r="G14" s="61" t="s">
        <v>41</v>
      </c>
      <c r="H14" s="56"/>
      <c r="I14" s="56"/>
      <c r="J14" s="56"/>
      <c r="K14" s="56"/>
    </row>
    <row r="15" spans="1:11" x14ac:dyDescent="0.25">
      <c r="C15" s="56" t="s">
        <v>42</v>
      </c>
      <c r="D15" s="57" t="s">
        <v>40</v>
      </c>
      <c r="E15" s="63" t="s">
        <v>38</v>
      </c>
      <c r="F15" s="65">
        <v>138690</v>
      </c>
      <c r="G15" s="60" t="s">
        <v>41</v>
      </c>
      <c r="H15" s="56"/>
      <c r="I15" s="56"/>
      <c r="J15" s="56"/>
      <c r="K15" s="56"/>
    </row>
    <row r="16" spans="1:11" s="14" customFormat="1" x14ac:dyDescent="0.25">
      <c r="A16" s="45"/>
      <c r="C16" s="56" t="s">
        <v>43</v>
      </c>
      <c r="D16" s="57" t="s">
        <v>40</v>
      </c>
      <c r="E16" s="58" t="s">
        <v>38</v>
      </c>
      <c r="F16" s="62">
        <v>92500</v>
      </c>
      <c r="G16" s="61" t="s">
        <v>41</v>
      </c>
      <c r="H16" s="64" t="s">
        <v>55</v>
      </c>
      <c r="I16" s="58" t="s">
        <v>38</v>
      </c>
      <c r="J16" s="62">
        <v>2500</v>
      </c>
      <c r="K16" s="61" t="s">
        <v>41</v>
      </c>
    </row>
    <row r="17" spans="1:17" s="14" customFormat="1" x14ac:dyDescent="0.25">
      <c r="A17" s="45"/>
      <c r="B17" s="11"/>
      <c r="C17" s="11"/>
      <c r="D17" s="11"/>
      <c r="E17" s="11"/>
      <c r="F17" s="11"/>
      <c r="G17" s="11"/>
    </row>
    <row r="18" spans="1:17" s="45" customFormat="1" x14ac:dyDescent="0.25">
      <c r="B18" s="11"/>
      <c r="C18" s="11"/>
      <c r="D18" s="11"/>
      <c r="E18" s="11"/>
      <c r="F18" s="11"/>
      <c r="G18" s="11"/>
    </row>
    <row r="19" spans="1:17" s="45" customFormat="1" x14ac:dyDescent="0.25">
      <c r="B19" s="11"/>
      <c r="C19" s="208" t="s">
        <v>104</v>
      </c>
      <c r="D19" s="208"/>
      <c r="E19" s="208"/>
      <c r="F19" s="208"/>
      <c r="G19" s="11"/>
    </row>
    <row r="20" spans="1:17" s="45" customFormat="1" x14ac:dyDescent="0.25">
      <c r="B20" s="11"/>
      <c r="C20" s="143" t="s">
        <v>39</v>
      </c>
      <c r="D20" s="144" t="s">
        <v>38</v>
      </c>
      <c r="E20" s="145">
        <f>'Assumptions and Raw Data'!$E$76</f>
        <v>3.5314667000000001E-2</v>
      </c>
      <c r="F20" s="146" t="s">
        <v>29</v>
      </c>
      <c r="G20" s="11"/>
    </row>
    <row r="21" spans="1:17" x14ac:dyDescent="0.25">
      <c r="B21" s="11"/>
      <c r="C21" s="143" t="s">
        <v>39</v>
      </c>
      <c r="D21" s="144" t="s">
        <v>38</v>
      </c>
      <c r="E21" s="145">
        <f>'Assumptions and Raw Data'!$E$75</f>
        <v>0.26417205199999999</v>
      </c>
      <c r="F21" s="146" t="s">
        <v>45</v>
      </c>
      <c r="G21" s="11"/>
    </row>
    <row r="22" spans="1:17" x14ac:dyDescent="0.25">
      <c r="B22" s="11"/>
      <c r="C22" s="11"/>
      <c r="D22" s="11"/>
      <c r="E22" s="11"/>
      <c r="F22" s="11"/>
      <c r="G22" s="11"/>
    </row>
    <row r="23" spans="1:17" x14ac:dyDescent="0.25">
      <c r="B23" s="42" t="s">
        <v>70</v>
      </c>
    </row>
    <row r="25" spans="1:17" x14ac:dyDescent="0.25">
      <c r="D25" s="26">
        <v>2010</v>
      </c>
      <c r="E25" s="26">
        <v>2011</v>
      </c>
      <c r="F25" s="26">
        <v>2012</v>
      </c>
      <c r="G25" s="26">
        <v>2013</v>
      </c>
      <c r="H25" s="26">
        <v>2014</v>
      </c>
      <c r="I25" s="26">
        <v>2015</v>
      </c>
      <c r="J25" s="26">
        <v>2016</v>
      </c>
      <c r="K25" s="26">
        <v>2017</v>
      </c>
      <c r="L25" s="26">
        <v>2018</v>
      </c>
      <c r="M25" s="26">
        <v>2019</v>
      </c>
      <c r="N25" s="26">
        <v>2020</v>
      </c>
      <c r="O25" s="44" t="s">
        <v>115</v>
      </c>
    </row>
    <row r="26" spans="1:17" x14ac:dyDescent="0.25">
      <c r="C26" s="24" t="s">
        <v>36</v>
      </c>
      <c r="O26" s="50"/>
    </row>
    <row r="27" spans="1:17" x14ac:dyDescent="0.25">
      <c r="B27" s="14"/>
      <c r="C27" s="51" t="s">
        <v>58</v>
      </c>
      <c r="D27" s="51"/>
      <c r="E27" s="76">
        <f>'Assumptions and Raw Data'!$F$19</f>
        <v>1842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176">
        <f>NPV($E$5, E27:N27)</f>
        <v>1788.3495145631068</v>
      </c>
      <c r="Q27" s="136">
        <f>O27/O32</f>
        <v>0.1780412567099533</v>
      </c>
    </row>
    <row r="28" spans="1:17" x14ac:dyDescent="0.25">
      <c r="C28" s="51" t="s">
        <v>59</v>
      </c>
      <c r="D28" s="51"/>
      <c r="E28" s="77">
        <f>'Assumptions and Raw Data'!$F$26</f>
        <v>868</v>
      </c>
      <c r="F28" s="77">
        <f t="shared" ref="F28:N28" si="0">E28+$E$8*E28</f>
        <v>889.96040000000005</v>
      </c>
      <c r="G28" s="77">
        <f t="shared" si="0"/>
        <v>912.47639812</v>
      </c>
      <c r="H28" s="77">
        <f t="shared" si="0"/>
        <v>935.56205099243596</v>
      </c>
      <c r="I28" s="77">
        <f t="shared" si="0"/>
        <v>959.23177088254454</v>
      </c>
      <c r="J28" s="77">
        <f t="shared" si="0"/>
        <v>983.50033468587287</v>
      </c>
      <c r="K28" s="77">
        <f t="shared" si="0"/>
        <v>1008.3828931534255</v>
      </c>
      <c r="L28" s="77">
        <f t="shared" si="0"/>
        <v>1033.8949803502071</v>
      </c>
      <c r="M28" s="77">
        <f t="shared" si="0"/>
        <v>1060.0525233530673</v>
      </c>
      <c r="N28" s="77">
        <f t="shared" si="0"/>
        <v>1086.8718521938999</v>
      </c>
      <c r="O28" s="176">
        <f>NPV($E$5, E28:N28)</f>
        <v>8256.2297453805804</v>
      </c>
      <c r="Q28" s="136">
        <f>O28/O32</f>
        <v>0.82195874329004659</v>
      </c>
    </row>
    <row r="29" spans="1:17" x14ac:dyDescent="0.25"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176"/>
      <c r="Q29" s="136"/>
    </row>
    <row r="30" spans="1:17" x14ac:dyDescent="0.25">
      <c r="C30" s="51" t="s">
        <v>60</v>
      </c>
      <c r="D30" s="51"/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176">
        <f>NPV($E$5, E30:N30)</f>
        <v>0</v>
      </c>
      <c r="Q30" s="136"/>
    </row>
    <row r="31" spans="1:17" x14ac:dyDescent="0.25"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176"/>
      <c r="Q31" s="136"/>
    </row>
    <row r="32" spans="1:17" s="33" customFormat="1" x14ac:dyDescent="0.25">
      <c r="A32" s="45"/>
      <c r="C32" s="78" t="s">
        <v>61</v>
      </c>
      <c r="D32" s="78"/>
      <c r="E32" s="79">
        <f>SUM(E27:E31)</f>
        <v>2710</v>
      </c>
      <c r="F32" s="79">
        <f t="shared" ref="F32:N32" si="1">SUM(F27:F31)</f>
        <v>889.96040000000005</v>
      </c>
      <c r="G32" s="79">
        <f t="shared" si="1"/>
        <v>912.47639812</v>
      </c>
      <c r="H32" s="79">
        <f t="shared" si="1"/>
        <v>935.56205099243596</v>
      </c>
      <c r="I32" s="79">
        <f t="shared" si="1"/>
        <v>959.23177088254454</v>
      </c>
      <c r="J32" s="79">
        <f t="shared" si="1"/>
        <v>983.50033468587287</v>
      </c>
      <c r="K32" s="79">
        <f t="shared" si="1"/>
        <v>1008.3828931534255</v>
      </c>
      <c r="L32" s="79">
        <f t="shared" si="1"/>
        <v>1033.8949803502071</v>
      </c>
      <c r="M32" s="79">
        <f t="shared" si="1"/>
        <v>1060.0525233530673</v>
      </c>
      <c r="N32" s="79">
        <f t="shared" si="1"/>
        <v>1086.8718521938999</v>
      </c>
      <c r="O32" s="177">
        <f>NPV(E5, E32:N32)</f>
        <v>10044.579259943688</v>
      </c>
      <c r="Q32" s="136">
        <f>SUM(Q27:Q31)</f>
        <v>0.99999999999999989</v>
      </c>
    </row>
    <row r="33" spans="1:17" s="33" customFormat="1" x14ac:dyDescent="0.25">
      <c r="A33" s="45"/>
      <c r="C33" s="34"/>
    </row>
    <row r="34" spans="1:17" x14ac:dyDescent="0.25">
      <c r="C34" s="15"/>
      <c r="Q34" s="33"/>
    </row>
    <row r="35" spans="1:17" x14ac:dyDescent="0.25">
      <c r="C35" s="25" t="s">
        <v>99</v>
      </c>
      <c r="G35" s="21"/>
    </row>
    <row r="36" spans="1:17" x14ac:dyDescent="0.25">
      <c r="C36" s="51" t="s">
        <v>34</v>
      </c>
      <c r="D36" s="51"/>
      <c r="E36" s="162">
        <f>$E$6*52</f>
        <v>18200</v>
      </c>
      <c r="F36" s="162">
        <f t="shared" ref="F36:N36" si="2">$E$6*52</f>
        <v>18200</v>
      </c>
      <c r="G36" s="162">
        <f t="shared" si="2"/>
        <v>18200</v>
      </c>
      <c r="H36" s="162">
        <f t="shared" si="2"/>
        <v>18200</v>
      </c>
      <c r="I36" s="162">
        <f t="shared" si="2"/>
        <v>18200</v>
      </c>
      <c r="J36" s="162">
        <f t="shared" si="2"/>
        <v>18200</v>
      </c>
      <c r="K36" s="162">
        <f t="shared" si="2"/>
        <v>18200</v>
      </c>
      <c r="L36" s="162">
        <f t="shared" si="2"/>
        <v>18200</v>
      </c>
      <c r="M36" s="162">
        <f t="shared" si="2"/>
        <v>18200</v>
      </c>
      <c r="N36" s="162">
        <f t="shared" si="2"/>
        <v>18200</v>
      </c>
    </row>
    <row r="37" spans="1:17" x14ac:dyDescent="0.25">
      <c r="C37" s="51" t="s">
        <v>35</v>
      </c>
      <c r="D37" s="51"/>
      <c r="E37" s="162">
        <f t="shared" ref="E37:N37" si="3">$E$7*52</f>
        <v>127400</v>
      </c>
      <c r="F37" s="162">
        <f t="shared" si="3"/>
        <v>127400</v>
      </c>
      <c r="G37" s="162">
        <f t="shared" si="3"/>
        <v>127400</v>
      </c>
      <c r="H37" s="162">
        <f t="shared" si="3"/>
        <v>127400</v>
      </c>
      <c r="I37" s="162">
        <f t="shared" si="3"/>
        <v>127400</v>
      </c>
      <c r="J37" s="162">
        <f t="shared" si="3"/>
        <v>127400</v>
      </c>
      <c r="K37" s="162">
        <f t="shared" si="3"/>
        <v>127400</v>
      </c>
      <c r="L37" s="162">
        <f t="shared" si="3"/>
        <v>127400</v>
      </c>
      <c r="M37" s="162">
        <f t="shared" si="3"/>
        <v>127400</v>
      </c>
      <c r="N37" s="162">
        <f t="shared" si="3"/>
        <v>127400</v>
      </c>
    </row>
    <row r="38" spans="1:17" x14ac:dyDescent="0.25"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7" x14ac:dyDescent="0.25">
      <c r="B39" s="14"/>
      <c r="C39" s="25" t="s">
        <v>37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7" x14ac:dyDescent="0.25">
      <c r="C40" s="51" t="s">
        <v>34</v>
      </c>
      <c r="D40" s="51"/>
      <c r="E40" s="162">
        <f t="shared" ref="E40:N40" si="4">E36*$E$20</f>
        <v>642.72693939999999</v>
      </c>
      <c r="F40" s="162">
        <f t="shared" si="4"/>
        <v>642.72693939999999</v>
      </c>
      <c r="G40" s="162">
        <f t="shared" si="4"/>
        <v>642.72693939999999</v>
      </c>
      <c r="H40" s="162">
        <f t="shared" si="4"/>
        <v>642.72693939999999</v>
      </c>
      <c r="I40" s="162">
        <f t="shared" si="4"/>
        <v>642.72693939999999</v>
      </c>
      <c r="J40" s="162">
        <f t="shared" si="4"/>
        <v>642.72693939999999</v>
      </c>
      <c r="K40" s="162">
        <f t="shared" si="4"/>
        <v>642.72693939999999</v>
      </c>
      <c r="L40" s="162">
        <f t="shared" si="4"/>
        <v>642.72693939999999</v>
      </c>
      <c r="M40" s="162">
        <f t="shared" si="4"/>
        <v>642.72693939999999</v>
      </c>
      <c r="N40" s="162">
        <f t="shared" si="4"/>
        <v>642.72693939999999</v>
      </c>
    </row>
    <row r="41" spans="1:17" x14ac:dyDescent="0.25">
      <c r="C41" s="51" t="s">
        <v>35</v>
      </c>
      <c r="D41" s="51"/>
      <c r="E41" s="162">
        <f t="shared" ref="E41:N41" si="5">E37*$E$20</f>
        <v>4499.0885758000004</v>
      </c>
      <c r="F41" s="162">
        <f t="shared" si="5"/>
        <v>4499.0885758000004</v>
      </c>
      <c r="G41" s="162">
        <f t="shared" si="5"/>
        <v>4499.0885758000004</v>
      </c>
      <c r="H41" s="162">
        <f t="shared" si="5"/>
        <v>4499.0885758000004</v>
      </c>
      <c r="I41" s="162">
        <f t="shared" si="5"/>
        <v>4499.0885758000004</v>
      </c>
      <c r="J41" s="162">
        <f t="shared" si="5"/>
        <v>4499.0885758000004</v>
      </c>
      <c r="K41" s="162">
        <f t="shared" si="5"/>
        <v>4499.0885758000004</v>
      </c>
      <c r="L41" s="162">
        <f t="shared" si="5"/>
        <v>4499.0885758000004</v>
      </c>
      <c r="M41" s="162">
        <f t="shared" si="5"/>
        <v>4499.0885758000004</v>
      </c>
      <c r="N41" s="162">
        <f t="shared" si="5"/>
        <v>4499.0885758000004</v>
      </c>
    </row>
    <row r="42" spans="1:17" s="28" customFormat="1" x14ac:dyDescent="0.25">
      <c r="A42" s="45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7" s="28" customFormat="1" x14ac:dyDescent="0.25">
      <c r="A43" s="45"/>
      <c r="C43" s="25" t="s">
        <v>100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7" s="28" customFormat="1" x14ac:dyDescent="0.25">
      <c r="A44" s="45"/>
      <c r="C44" s="51" t="s">
        <v>34</v>
      </c>
      <c r="D44" s="51"/>
      <c r="E44" s="162">
        <f t="shared" ref="E44:N44" si="6">E36*$E$21</f>
        <v>4807.9313463999997</v>
      </c>
      <c r="F44" s="162">
        <f t="shared" si="6"/>
        <v>4807.9313463999997</v>
      </c>
      <c r="G44" s="162">
        <f t="shared" si="6"/>
        <v>4807.9313463999997</v>
      </c>
      <c r="H44" s="162">
        <f t="shared" si="6"/>
        <v>4807.9313463999997</v>
      </c>
      <c r="I44" s="162">
        <f t="shared" si="6"/>
        <v>4807.9313463999997</v>
      </c>
      <c r="J44" s="162">
        <f t="shared" si="6"/>
        <v>4807.9313463999997</v>
      </c>
      <c r="K44" s="162">
        <f t="shared" si="6"/>
        <v>4807.9313463999997</v>
      </c>
      <c r="L44" s="162">
        <f t="shared" si="6"/>
        <v>4807.9313463999997</v>
      </c>
      <c r="M44" s="162">
        <f t="shared" si="6"/>
        <v>4807.9313463999997</v>
      </c>
      <c r="N44" s="162">
        <f t="shared" si="6"/>
        <v>4807.9313463999997</v>
      </c>
    </row>
    <row r="45" spans="1:17" s="28" customFormat="1" x14ac:dyDescent="0.25">
      <c r="A45" s="45"/>
      <c r="C45" s="51" t="s">
        <v>35</v>
      </c>
      <c r="D45" s="51"/>
      <c r="E45" s="162">
        <f t="shared" ref="E45:N45" si="7">E37*$E$21</f>
        <v>33655.519424799997</v>
      </c>
      <c r="F45" s="162">
        <f t="shared" si="7"/>
        <v>33655.519424799997</v>
      </c>
      <c r="G45" s="162">
        <f t="shared" si="7"/>
        <v>33655.519424799997</v>
      </c>
      <c r="H45" s="162">
        <f t="shared" si="7"/>
        <v>33655.519424799997</v>
      </c>
      <c r="I45" s="162">
        <f t="shared" si="7"/>
        <v>33655.519424799997</v>
      </c>
      <c r="J45" s="162">
        <f t="shared" si="7"/>
        <v>33655.519424799997</v>
      </c>
      <c r="K45" s="162">
        <f t="shared" si="7"/>
        <v>33655.519424799997</v>
      </c>
      <c r="L45" s="162">
        <f t="shared" si="7"/>
        <v>33655.519424799997</v>
      </c>
      <c r="M45" s="162">
        <f t="shared" si="7"/>
        <v>33655.519424799997</v>
      </c>
      <c r="N45" s="162">
        <f t="shared" si="7"/>
        <v>33655.519424799997</v>
      </c>
    </row>
    <row r="47" spans="1:17" s="33" customFormat="1" x14ac:dyDescent="0.25">
      <c r="A47" s="45"/>
      <c r="C47" s="25" t="s">
        <v>56</v>
      </c>
      <c r="D47" s="32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7" s="33" customFormat="1" x14ac:dyDescent="0.25">
      <c r="A48" s="45"/>
      <c r="C48" s="51" t="s">
        <v>34</v>
      </c>
      <c r="D48" s="52"/>
      <c r="E48" s="162">
        <f t="shared" ref="E48:N48" si="8">E40*$F$14</f>
        <v>385636.16363999998</v>
      </c>
      <c r="F48" s="162">
        <f t="shared" si="8"/>
        <v>385636.16363999998</v>
      </c>
      <c r="G48" s="162">
        <f t="shared" si="8"/>
        <v>385636.16363999998</v>
      </c>
      <c r="H48" s="162">
        <f t="shared" si="8"/>
        <v>385636.16363999998</v>
      </c>
      <c r="I48" s="162">
        <f t="shared" si="8"/>
        <v>385636.16363999998</v>
      </c>
      <c r="J48" s="162">
        <f t="shared" si="8"/>
        <v>385636.16363999998</v>
      </c>
      <c r="K48" s="162">
        <f t="shared" si="8"/>
        <v>385636.16363999998</v>
      </c>
      <c r="L48" s="162">
        <f t="shared" si="8"/>
        <v>385636.16363999998</v>
      </c>
      <c r="M48" s="162">
        <f t="shared" si="8"/>
        <v>385636.16363999998</v>
      </c>
      <c r="N48" s="162">
        <f t="shared" si="8"/>
        <v>385636.16363999998</v>
      </c>
    </row>
    <row r="49" spans="1:14" s="33" customFormat="1" x14ac:dyDescent="0.25">
      <c r="A49" s="45"/>
      <c r="C49" s="51" t="s">
        <v>35</v>
      </c>
      <c r="D49" s="52"/>
      <c r="E49" s="162">
        <f t="shared" ref="E49:N49" si="9">E41*$F$14</f>
        <v>2699453.1454800004</v>
      </c>
      <c r="F49" s="162">
        <f t="shared" si="9"/>
        <v>2699453.1454800004</v>
      </c>
      <c r="G49" s="162">
        <f t="shared" si="9"/>
        <v>2699453.1454800004</v>
      </c>
      <c r="H49" s="162">
        <f t="shared" si="9"/>
        <v>2699453.1454800004</v>
      </c>
      <c r="I49" s="162">
        <f t="shared" si="9"/>
        <v>2699453.1454800004</v>
      </c>
      <c r="J49" s="162">
        <f t="shared" si="9"/>
        <v>2699453.1454800004</v>
      </c>
      <c r="K49" s="162">
        <f t="shared" si="9"/>
        <v>2699453.1454800004</v>
      </c>
      <c r="L49" s="162">
        <f t="shared" si="9"/>
        <v>2699453.1454800004</v>
      </c>
      <c r="M49" s="162">
        <f t="shared" si="9"/>
        <v>2699453.1454800004</v>
      </c>
      <c r="N49" s="162">
        <f t="shared" si="9"/>
        <v>2699453.1454800004</v>
      </c>
    </row>
    <row r="50" spans="1:14" s="33" customFormat="1" x14ac:dyDescent="0.25">
      <c r="A50" s="45"/>
      <c r="D50" s="32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x14ac:dyDescent="0.25">
      <c r="C51" s="25" t="s">
        <v>44</v>
      </c>
    </row>
    <row r="52" spans="1:14" s="11" customFormat="1" x14ac:dyDescent="0.25">
      <c r="C52" s="53" t="s">
        <v>65</v>
      </c>
      <c r="D52" s="53"/>
      <c r="E52" s="54">
        <v>3.2596257142857143</v>
      </c>
      <c r="F52" s="54">
        <v>3.5848428571428568</v>
      </c>
      <c r="G52" s="54">
        <v>3.705392380952381</v>
      </c>
      <c r="H52" s="54">
        <v>3.7769223809523811</v>
      </c>
      <c r="I52" s="54">
        <v>3.8699261904761908</v>
      </c>
      <c r="J52" s="54">
        <v>3.9615971428571428</v>
      </c>
      <c r="K52" s="54">
        <v>4.0591919047619056</v>
      </c>
      <c r="L52" s="54">
        <v>4.1677457142857151</v>
      </c>
      <c r="M52" s="54">
        <v>4.2800019047619058</v>
      </c>
      <c r="N52" s="54">
        <v>4.3867785714285716</v>
      </c>
    </row>
    <row r="53" spans="1:14" s="11" customFormat="1" x14ac:dyDescent="0.25">
      <c r="C53" s="53" t="s">
        <v>66</v>
      </c>
      <c r="D53" s="53"/>
      <c r="E53" s="54">
        <v>3.6159428571428571</v>
      </c>
      <c r="F53" s="54">
        <v>4.5370952380952376</v>
      </c>
      <c r="G53" s="54">
        <v>5.3402157142857147</v>
      </c>
      <c r="H53" s="54">
        <v>5.7877595238095232</v>
      </c>
      <c r="I53" s="54">
        <v>6.0375961904761901</v>
      </c>
      <c r="J53" s="54">
        <v>6.2715866666666669</v>
      </c>
      <c r="K53" s="54">
        <v>6.4916561904761911</v>
      </c>
      <c r="L53" s="54">
        <v>6.7311261904761919</v>
      </c>
      <c r="M53" s="54">
        <v>6.9269080952380966</v>
      </c>
      <c r="N53" s="54">
        <v>7.1112866666666674</v>
      </c>
    </row>
    <row r="54" spans="1:14" x14ac:dyDescent="0.25">
      <c r="C54" s="51" t="s">
        <v>50</v>
      </c>
      <c r="D54" s="147">
        <f>'Assumptions and Raw Data'!$I$35</f>
        <v>4.2275</v>
      </c>
      <c r="E54" s="55">
        <f>D54+D54*$F$9</f>
        <v>4.4235959266785834</v>
      </c>
      <c r="F54" s="55">
        <f t="shared" ref="F54:N54" si="10">E54+E54*$F$9</f>
        <v>4.6287879178065889</v>
      </c>
      <c r="G54" s="55">
        <f t="shared" si="10"/>
        <v>4.8434979015182185</v>
      </c>
      <c r="H54" s="55">
        <f t="shared" si="10"/>
        <v>5.0681673774174474</v>
      </c>
      <c r="I54" s="55">
        <f t="shared" si="10"/>
        <v>5.3032583244161087</v>
      </c>
      <c r="J54" s="55">
        <f t="shared" si="10"/>
        <v>5.5492541506827653</v>
      </c>
      <c r="K54" s="55">
        <f t="shared" si="10"/>
        <v>5.8066606876557074</v>
      </c>
      <c r="L54" s="55">
        <f t="shared" si="10"/>
        <v>6.0760072301640333</v>
      </c>
      <c r="M54" s="55">
        <f t="shared" si="10"/>
        <v>6.3578476247955624</v>
      </c>
      <c r="N54" s="55">
        <f t="shared" si="10"/>
        <v>6.6527614087495586</v>
      </c>
    </row>
    <row r="55" spans="1:14" s="33" customFormat="1" x14ac:dyDescent="0.25">
      <c r="A55" s="45"/>
      <c r="D55" s="32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s="33" customFormat="1" x14ac:dyDescent="0.25">
      <c r="A56" s="45"/>
      <c r="D56" s="32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s="33" customFormat="1" x14ac:dyDescent="0.25">
      <c r="A57" s="45"/>
      <c r="D57" s="26">
        <v>2010</v>
      </c>
      <c r="E57" s="26">
        <v>2011</v>
      </c>
      <c r="F57" s="26">
        <v>2012</v>
      </c>
      <c r="G57" s="26">
        <v>2013</v>
      </c>
      <c r="H57" s="26">
        <v>2014</v>
      </c>
      <c r="I57" s="26">
        <v>2015</v>
      </c>
      <c r="J57" s="26">
        <v>2016</v>
      </c>
      <c r="K57" s="26">
        <v>2017</v>
      </c>
      <c r="L57" s="26">
        <v>2018</v>
      </c>
      <c r="M57" s="26">
        <v>2019</v>
      </c>
      <c r="N57" s="26">
        <v>2020</v>
      </c>
    </row>
    <row r="59" spans="1:14" ht="15.75" thickBot="1" x14ac:dyDescent="0.3">
      <c r="B59" s="74"/>
      <c r="C59" s="75" t="s">
        <v>74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5">
      <c r="B60" s="199" t="s">
        <v>28</v>
      </c>
      <c r="C60" s="110" t="s">
        <v>51</v>
      </c>
      <c r="D60" s="111"/>
      <c r="E60" s="112">
        <f t="shared" ref="E60:N60" si="11">(E48*$D$11)/$F$15</f>
        <v>2.5025059288773521</v>
      </c>
      <c r="F60" s="150">
        <f t="shared" si="11"/>
        <v>2.5025059288773521</v>
      </c>
      <c r="G60" s="150">
        <f t="shared" si="11"/>
        <v>2.5025059288773521</v>
      </c>
      <c r="H60" s="150">
        <f t="shared" si="11"/>
        <v>2.5025059288773521</v>
      </c>
      <c r="I60" s="150">
        <f t="shared" si="11"/>
        <v>2.5025059288773521</v>
      </c>
      <c r="J60" s="150">
        <f t="shared" si="11"/>
        <v>2.5025059288773521</v>
      </c>
      <c r="K60" s="150">
        <f t="shared" si="11"/>
        <v>2.5025059288773521</v>
      </c>
      <c r="L60" s="150">
        <f t="shared" si="11"/>
        <v>2.5025059288773521</v>
      </c>
      <c r="M60" s="150">
        <f t="shared" si="11"/>
        <v>2.5025059288773521</v>
      </c>
      <c r="N60" s="150">
        <f t="shared" si="11"/>
        <v>2.5025059288773521</v>
      </c>
    </row>
    <row r="61" spans="1:14" ht="15.75" thickBot="1" x14ac:dyDescent="0.3">
      <c r="B61" s="201"/>
      <c r="C61" s="98" t="s">
        <v>52</v>
      </c>
      <c r="D61" s="68"/>
      <c r="E61" s="69">
        <f t="shared" ref="E61:N61" si="12">E48/$F$16</f>
        <v>4.1690396069189184</v>
      </c>
      <c r="F61" s="69">
        <f t="shared" si="12"/>
        <v>4.1690396069189184</v>
      </c>
      <c r="G61" s="69">
        <f t="shared" si="12"/>
        <v>4.1690396069189184</v>
      </c>
      <c r="H61" s="69">
        <f t="shared" si="12"/>
        <v>4.1690396069189184</v>
      </c>
      <c r="I61" s="69">
        <f t="shared" si="12"/>
        <v>4.1690396069189184</v>
      </c>
      <c r="J61" s="69">
        <f t="shared" si="12"/>
        <v>4.1690396069189184</v>
      </c>
      <c r="K61" s="69">
        <f t="shared" si="12"/>
        <v>4.1690396069189184</v>
      </c>
      <c r="L61" s="69">
        <f t="shared" si="12"/>
        <v>4.1690396069189184</v>
      </c>
      <c r="M61" s="69">
        <f t="shared" si="12"/>
        <v>4.1690396069189184</v>
      </c>
      <c r="N61" s="113">
        <f t="shared" si="12"/>
        <v>4.1690396069189184</v>
      </c>
    </row>
    <row r="62" spans="1:14" x14ac:dyDescent="0.25">
      <c r="B62" s="199" t="s">
        <v>53</v>
      </c>
      <c r="C62" s="88" t="s">
        <v>51</v>
      </c>
      <c r="D62" s="66"/>
      <c r="E62" s="67">
        <f t="shared" ref="E62:N62" si="13">(E49*$D$11)/$F$15</f>
        <v>17.517541502141473</v>
      </c>
      <c r="F62" s="67">
        <f t="shared" si="13"/>
        <v>17.517541502141473</v>
      </c>
      <c r="G62" s="67">
        <f t="shared" si="13"/>
        <v>17.517541502141473</v>
      </c>
      <c r="H62" s="67">
        <f t="shared" si="13"/>
        <v>17.517541502141473</v>
      </c>
      <c r="I62" s="67">
        <f t="shared" si="13"/>
        <v>17.517541502141473</v>
      </c>
      <c r="J62" s="67">
        <f t="shared" si="13"/>
        <v>17.517541502141473</v>
      </c>
      <c r="K62" s="67">
        <f t="shared" si="13"/>
        <v>17.517541502141473</v>
      </c>
      <c r="L62" s="67">
        <f t="shared" si="13"/>
        <v>17.517541502141473</v>
      </c>
      <c r="M62" s="67">
        <f t="shared" si="13"/>
        <v>17.517541502141473</v>
      </c>
      <c r="N62" s="67">
        <f t="shared" si="13"/>
        <v>17.517541502141473</v>
      </c>
    </row>
    <row r="63" spans="1:14" ht="15.75" thickBot="1" x14ac:dyDescent="0.3">
      <c r="B63" s="201"/>
      <c r="C63" s="98" t="s">
        <v>52</v>
      </c>
      <c r="D63" s="68"/>
      <c r="E63" s="69">
        <f t="shared" ref="E63:N63" si="14">E49/$F$16</f>
        <v>29.183277248432436</v>
      </c>
      <c r="F63" s="69">
        <f t="shared" si="14"/>
        <v>29.183277248432436</v>
      </c>
      <c r="G63" s="69">
        <f t="shared" si="14"/>
        <v>29.183277248432436</v>
      </c>
      <c r="H63" s="69">
        <f t="shared" si="14"/>
        <v>29.183277248432436</v>
      </c>
      <c r="I63" s="69">
        <f t="shared" si="14"/>
        <v>29.183277248432436</v>
      </c>
      <c r="J63" s="69">
        <f t="shared" si="14"/>
        <v>29.183277248432436</v>
      </c>
      <c r="K63" s="69">
        <f t="shared" si="14"/>
        <v>29.183277248432436</v>
      </c>
      <c r="L63" s="69">
        <f t="shared" si="14"/>
        <v>29.183277248432436</v>
      </c>
      <c r="M63" s="69">
        <f t="shared" si="14"/>
        <v>29.183277248432436</v>
      </c>
      <c r="N63" s="113">
        <f t="shared" si="14"/>
        <v>29.183277248432436</v>
      </c>
    </row>
    <row r="64" spans="1:14" ht="15.75" thickBot="1" x14ac:dyDescent="0.3"/>
    <row r="65" spans="1:15" ht="15.75" thickBot="1" x14ac:dyDescent="0.3">
      <c r="B65" s="74"/>
      <c r="C65" s="75" t="s">
        <v>64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109" t="s">
        <v>116</v>
      </c>
    </row>
    <row r="66" spans="1:15" s="11" customFormat="1" x14ac:dyDescent="0.25">
      <c r="B66" s="199" t="s">
        <v>28</v>
      </c>
      <c r="C66" s="101" t="s">
        <v>93</v>
      </c>
      <c r="D66" s="102"/>
      <c r="E66" s="103">
        <f t="shared" ref="E66:N66" si="15">E60*E52</f>
        <v>8.1572326759210743</v>
      </c>
      <c r="F66" s="103">
        <f t="shared" si="15"/>
        <v>8.9710905040936257</v>
      </c>
      <c r="G66" s="103">
        <f t="shared" si="15"/>
        <v>9.2727664021503013</v>
      </c>
      <c r="H66" s="103">
        <f t="shared" si="15"/>
        <v>9.4517706512428994</v>
      </c>
      <c r="I66" s="103">
        <f t="shared" si="15"/>
        <v>9.6845132359844133</v>
      </c>
      <c r="J66" s="103">
        <f t="shared" si="15"/>
        <v>9.9139203378235781</v>
      </c>
      <c r="K66" s="103">
        <f t="shared" si="15"/>
        <v>10.158151808117621</v>
      </c>
      <c r="L66" s="103">
        <f t="shared" si="15"/>
        <v>10.429808360053176</v>
      </c>
      <c r="M66" s="103">
        <f t="shared" si="15"/>
        <v>10.710730142273029</v>
      </c>
      <c r="N66" s="103">
        <f t="shared" si="15"/>
        <v>10.977939383672121</v>
      </c>
      <c r="O66" s="104">
        <f t="shared" ref="O66:O71" si="16">NPV($E$5, E66:N66)</f>
        <v>82.786520342472045</v>
      </c>
    </row>
    <row r="67" spans="1:15" s="11" customFormat="1" x14ac:dyDescent="0.25">
      <c r="B67" s="200"/>
      <c r="C67" s="89" t="s">
        <v>94</v>
      </c>
      <c r="D67" s="53"/>
      <c r="E67" s="70">
        <f t="shared" ref="E67:N67" si="17">E60*E53</f>
        <v>9.0489184384817118</v>
      </c>
      <c r="F67" s="70">
        <f t="shared" si="17"/>
        <v>11.354107733214533</v>
      </c>
      <c r="G67" s="70">
        <f t="shared" si="17"/>
        <v>13.363921486484005</v>
      </c>
      <c r="H67" s="70">
        <f t="shared" si="17"/>
        <v>14.483902523249691</v>
      </c>
      <c r="I67" s="70">
        <f t="shared" si="17"/>
        <v>15.109120262833981</v>
      </c>
      <c r="J67" s="70">
        <f t="shared" si="17"/>
        <v>15.694682816801484</v>
      </c>
      <c r="K67" s="70">
        <f t="shared" si="17"/>
        <v>16.245408104900033</v>
      </c>
      <c r="L67" s="70">
        <f t="shared" si="17"/>
        <v>16.844683199688294</v>
      </c>
      <c r="M67" s="70">
        <f t="shared" si="17"/>
        <v>17.334628577121862</v>
      </c>
      <c r="N67" s="70">
        <f t="shared" si="17"/>
        <v>17.796037045279796</v>
      </c>
      <c r="O67" s="105">
        <f t="shared" si="16"/>
        <v>123.79746808446191</v>
      </c>
    </row>
    <row r="68" spans="1:15" ht="15.75" thickBot="1" x14ac:dyDescent="0.3">
      <c r="B68" s="200"/>
      <c r="C68" s="98" t="s">
        <v>95</v>
      </c>
      <c r="D68" s="68"/>
      <c r="E68" s="73">
        <f t="shared" ref="E68:N68" si="18">E61*E54</f>
        <v>18.44214662332821</v>
      </c>
      <c r="F68" s="73">
        <f t="shared" si="18"/>
        <v>19.29760016136342</v>
      </c>
      <c r="G68" s="73">
        <f t="shared" si="18"/>
        <v>20.192734587458119</v>
      </c>
      <c r="H68" s="73">
        <f t="shared" si="18"/>
        <v>21.12939053094772</v>
      </c>
      <c r="I68" s="73">
        <f t="shared" si="18"/>
        <v>22.109494000213214</v>
      </c>
      <c r="J68" s="73">
        <f t="shared" si="18"/>
        <v>23.135060343055653</v>
      </c>
      <c r="K68" s="73">
        <f t="shared" si="18"/>
        <v>24.208198390775689</v>
      </c>
      <c r="L68" s="73">
        <f t="shared" si="18"/>
        <v>25.331114794479568</v>
      </c>
      <c r="M68" s="73">
        <f t="shared" si="18"/>
        <v>26.506118562528069</v>
      </c>
      <c r="N68" s="73">
        <f t="shared" si="18"/>
        <v>27.735625808458611</v>
      </c>
      <c r="O68" s="106">
        <f t="shared" si="16"/>
        <v>192.42707041824622</v>
      </c>
    </row>
    <row r="69" spans="1:15" x14ac:dyDescent="0.25">
      <c r="B69" s="199" t="s">
        <v>53</v>
      </c>
      <c r="C69" s="88" t="s">
        <v>93</v>
      </c>
      <c r="D69" s="66"/>
      <c r="E69" s="72">
        <f t="shared" ref="E69:N69" si="19">E62*E52</f>
        <v>57.100628731447543</v>
      </c>
      <c r="F69" s="72">
        <f t="shared" si="19"/>
        <v>62.79763352865541</v>
      </c>
      <c r="G69" s="72">
        <f t="shared" si="19"/>
        <v>64.909364815052143</v>
      </c>
      <c r="H69" s="72">
        <f t="shared" si="19"/>
        <v>66.162394558700328</v>
      </c>
      <c r="I69" s="72">
        <f t="shared" si="19"/>
        <v>67.791592651890923</v>
      </c>
      <c r="J69" s="72">
        <f t="shared" si="19"/>
        <v>69.397442364765084</v>
      </c>
      <c r="K69" s="72">
        <f t="shared" si="19"/>
        <v>71.107062656823373</v>
      </c>
      <c r="L69" s="72">
        <f t="shared" si="19"/>
        <v>73.008658520372265</v>
      </c>
      <c r="M69" s="72">
        <f t="shared" si="19"/>
        <v>74.975110995911237</v>
      </c>
      <c r="N69" s="72">
        <f t="shared" si="19"/>
        <v>76.845575685704887</v>
      </c>
      <c r="O69" s="107">
        <f t="shared" si="16"/>
        <v>579.50564239730443</v>
      </c>
    </row>
    <row r="70" spans="1:15" s="37" customFormat="1" x14ac:dyDescent="0.25">
      <c r="A70" s="45"/>
      <c r="B70" s="200"/>
      <c r="C70" s="89" t="s">
        <v>94</v>
      </c>
      <c r="D70" s="51"/>
      <c r="E70" s="71">
        <f t="shared" ref="E70:N70" si="20">E62*E53</f>
        <v>63.342429069372017</v>
      </c>
      <c r="F70" s="71">
        <f t="shared" si="20"/>
        <v>79.478754132501777</v>
      </c>
      <c r="G70" s="71">
        <f t="shared" si="20"/>
        <v>93.547450405388076</v>
      </c>
      <c r="H70" s="71">
        <f t="shared" si="20"/>
        <v>101.38731766274789</v>
      </c>
      <c r="I70" s="71">
        <f t="shared" si="20"/>
        <v>105.76384183983791</v>
      </c>
      <c r="J70" s="71">
        <f t="shared" si="20"/>
        <v>109.86277971761044</v>
      </c>
      <c r="K70" s="71">
        <f t="shared" si="20"/>
        <v>113.71785673430028</v>
      </c>
      <c r="L70" s="71">
        <f t="shared" si="20"/>
        <v>117.91278239781812</v>
      </c>
      <c r="M70" s="71">
        <f t="shared" si="20"/>
        <v>121.34240003985309</v>
      </c>
      <c r="N70" s="71">
        <f t="shared" si="20"/>
        <v>124.57225931695864</v>
      </c>
      <c r="O70" s="108">
        <f t="shared" si="16"/>
        <v>866.58227659123384</v>
      </c>
    </row>
    <row r="71" spans="1:15" ht="15.75" thickBot="1" x14ac:dyDescent="0.3">
      <c r="B71" s="201"/>
      <c r="C71" s="98" t="s">
        <v>95</v>
      </c>
      <c r="D71" s="68"/>
      <c r="E71" s="73">
        <f t="shared" ref="E71:N71" si="21">E63*E54</f>
        <v>129.09502636329751</v>
      </c>
      <c r="F71" s="73">
        <f t="shared" si="21"/>
        <v>135.08320112954397</v>
      </c>
      <c r="G71" s="73">
        <f t="shared" si="21"/>
        <v>141.34914211220686</v>
      </c>
      <c r="H71" s="73">
        <f t="shared" si="21"/>
        <v>147.90573371663407</v>
      </c>
      <c r="I71" s="73">
        <f t="shared" si="21"/>
        <v>154.76645800149254</v>
      </c>
      <c r="J71" s="73">
        <f t="shared" si="21"/>
        <v>161.94542240138961</v>
      </c>
      <c r="K71" s="73">
        <f t="shared" si="21"/>
        <v>169.45738873542984</v>
      </c>
      <c r="L71" s="73">
        <f t="shared" si="21"/>
        <v>177.31780356135701</v>
      </c>
      <c r="M71" s="73">
        <f t="shared" si="21"/>
        <v>185.54282993769655</v>
      </c>
      <c r="N71" s="73">
        <f t="shared" si="21"/>
        <v>194.14938065921032</v>
      </c>
      <c r="O71" s="106">
        <f t="shared" si="16"/>
        <v>1346.9894929277239</v>
      </c>
    </row>
    <row r="74" spans="1:15" ht="15.75" thickBot="1" x14ac:dyDescent="0.3">
      <c r="B74" s="74"/>
      <c r="C74" s="75" t="s">
        <v>62</v>
      </c>
      <c r="D74" s="80" t="s">
        <v>63</v>
      </c>
      <c r="E74" s="35"/>
    </row>
    <row r="75" spans="1:15" x14ac:dyDescent="0.25">
      <c r="B75" s="199" t="s">
        <v>28</v>
      </c>
      <c r="C75" s="94" t="s">
        <v>67</v>
      </c>
      <c r="D75" s="95">
        <f t="shared" ref="D75:D80" si="22">O66/$O$32</f>
        <v>8.2419102084855429E-3</v>
      </c>
      <c r="E75" s="36"/>
      <c r="G75" s="93"/>
    </row>
    <row r="76" spans="1:15" s="38" customFormat="1" x14ac:dyDescent="0.25">
      <c r="B76" s="200"/>
      <c r="C76" s="91" t="s">
        <v>68</v>
      </c>
      <c r="D76" s="96">
        <f t="shared" si="22"/>
        <v>1.2324803745453838E-2</v>
      </c>
      <c r="E76" s="39"/>
    </row>
    <row r="77" spans="1:15" ht="15.75" thickBot="1" x14ac:dyDescent="0.3">
      <c r="B77" s="200"/>
      <c r="C77" s="99" t="s">
        <v>57</v>
      </c>
      <c r="D77" s="97">
        <f t="shared" si="22"/>
        <v>1.915730519302259E-2</v>
      </c>
      <c r="E77" s="36"/>
    </row>
    <row r="78" spans="1:15" x14ac:dyDescent="0.25">
      <c r="B78" s="199" t="s">
        <v>53</v>
      </c>
      <c r="C78" s="90" t="s">
        <v>67</v>
      </c>
      <c r="D78" s="100">
        <f t="shared" si="22"/>
        <v>5.7693371459398811E-2</v>
      </c>
      <c r="E78" s="36"/>
    </row>
    <row r="79" spans="1:15" s="38" customFormat="1" x14ac:dyDescent="0.25">
      <c r="B79" s="200"/>
      <c r="C79" s="91" t="s">
        <v>68</v>
      </c>
      <c r="D79" s="96">
        <f t="shared" si="22"/>
        <v>8.6273626218176913E-2</v>
      </c>
      <c r="E79" s="39"/>
    </row>
    <row r="80" spans="1:15" ht="15.75" thickBot="1" x14ac:dyDescent="0.3">
      <c r="B80" s="201"/>
      <c r="C80" s="92" t="s">
        <v>57</v>
      </c>
      <c r="D80" s="97">
        <f t="shared" si="22"/>
        <v>0.13410113635115817</v>
      </c>
      <c r="E80" s="36"/>
    </row>
  </sheetData>
  <mergeCells count="15">
    <mergeCell ref="F4:H4"/>
    <mergeCell ref="F5:H5"/>
    <mergeCell ref="F8:H8"/>
    <mergeCell ref="B78:B80"/>
    <mergeCell ref="C6:D7"/>
    <mergeCell ref="C8:D8"/>
    <mergeCell ref="F6:H6"/>
    <mergeCell ref="F7:H7"/>
    <mergeCell ref="B66:B68"/>
    <mergeCell ref="B69:B71"/>
    <mergeCell ref="B75:B77"/>
    <mergeCell ref="B60:B61"/>
    <mergeCell ref="B62:B63"/>
    <mergeCell ref="C19:F19"/>
    <mergeCell ref="C13:K13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W71"/>
  <sheetViews>
    <sheetView zoomScale="75" zoomScaleNormal="75" workbookViewId="0">
      <selection activeCell="O78" sqref="O78"/>
    </sheetView>
  </sheetViews>
  <sheetFormatPr defaultRowHeight="15" x14ac:dyDescent="0.25"/>
  <cols>
    <col min="3" max="3" width="4.5703125" bestFit="1" customWidth="1"/>
    <col min="4" max="4" width="35" customWidth="1"/>
    <col min="5" max="5" width="12" bestFit="1" customWidth="1"/>
    <col min="7" max="8" width="21.5703125" bestFit="1" customWidth="1"/>
    <col min="9" max="9" width="14.28515625" bestFit="1" customWidth="1"/>
    <col min="11" max="11" width="30.140625" bestFit="1" customWidth="1"/>
    <col min="12" max="12" width="12" bestFit="1" customWidth="1"/>
    <col min="15" max="15" width="32" customWidth="1"/>
    <col min="16" max="16" width="10.5703125" bestFit="1" customWidth="1"/>
    <col min="17" max="17" width="17.85546875" bestFit="1" customWidth="1"/>
    <col min="18" max="18" width="28.140625" style="45" customWidth="1"/>
    <col min="19" max="19" width="25.28515625" style="45" bestFit="1" customWidth="1"/>
    <col min="20" max="21" width="16.42578125" bestFit="1" customWidth="1"/>
    <col min="23" max="23" width="13" bestFit="1" customWidth="1"/>
  </cols>
  <sheetData>
    <row r="2" spans="3:21" s="45" customFormat="1" x14ac:dyDescent="0.25"/>
    <row r="3" spans="3:21" s="45" customFormat="1" x14ac:dyDescent="0.25"/>
    <row r="5" spans="3:21" x14ac:dyDescent="0.25">
      <c r="L5" t="s">
        <v>115</v>
      </c>
      <c r="O5" s="211" t="s">
        <v>120</v>
      </c>
      <c r="P5" s="212"/>
      <c r="Q5" s="212"/>
      <c r="R5" s="212"/>
      <c r="S5" s="212"/>
      <c r="T5" s="212"/>
      <c r="U5" s="213"/>
    </row>
    <row r="6" spans="3:21" x14ac:dyDescent="0.25">
      <c r="C6" s="214" t="s">
        <v>109</v>
      </c>
      <c r="D6" s="215"/>
      <c r="E6" s="154" t="s">
        <v>110</v>
      </c>
      <c r="F6" s="154" t="s">
        <v>111</v>
      </c>
      <c r="G6" s="155" t="s">
        <v>117</v>
      </c>
      <c r="I6" t="s">
        <v>116</v>
      </c>
      <c r="K6" t="s">
        <v>36</v>
      </c>
      <c r="O6" s="169" t="s">
        <v>110</v>
      </c>
      <c r="P6" s="169" t="s">
        <v>111</v>
      </c>
      <c r="Q6" s="169" t="s">
        <v>116</v>
      </c>
      <c r="R6" s="169" t="s">
        <v>115</v>
      </c>
      <c r="S6" s="6" t="s">
        <v>124</v>
      </c>
      <c r="T6" s="169" t="s">
        <v>110</v>
      </c>
      <c r="U6" s="169" t="s">
        <v>125</v>
      </c>
    </row>
    <row r="7" spans="3:21" x14ac:dyDescent="0.25">
      <c r="C7" s="210" t="s">
        <v>28</v>
      </c>
      <c r="D7" s="160" t="s">
        <v>67</v>
      </c>
      <c r="E7" s="166">
        <f>'Sensitivity &amp; B-C Analysis'!D75</f>
        <v>8.2419102084855429E-3</v>
      </c>
      <c r="F7" s="154">
        <v>1</v>
      </c>
      <c r="G7" s="157">
        <f>S7</f>
        <v>82.793991607240997</v>
      </c>
      <c r="I7" s="152">
        <f>'Sensitivity &amp; B-C Analysis'!O66</f>
        <v>82.786520342472045</v>
      </c>
      <c r="K7" t="s">
        <v>58</v>
      </c>
      <c r="L7" s="167">
        <f>'Sensitivity &amp; B-C Analysis'!$O$27</f>
        <v>1788.3495145631068</v>
      </c>
      <c r="O7" s="170">
        <v>8.2419102084855429E-3</v>
      </c>
      <c r="P7" s="169">
        <v>1</v>
      </c>
      <c r="Q7" s="171">
        <v>82.786520342472045</v>
      </c>
      <c r="R7" s="171">
        <f>$L$12</f>
        <v>10044.579259943688</v>
      </c>
      <c r="S7" s="174">
        <v>82.793991607240997</v>
      </c>
      <c r="T7" s="170">
        <f t="shared" ref="T7:T12" si="0">Q7/R7</f>
        <v>8.2419102084855429E-3</v>
      </c>
      <c r="U7" s="170">
        <f t="shared" ref="U7:U12" si="1">Q7/S7</f>
        <v>0.99990976078548799</v>
      </c>
    </row>
    <row r="8" spans="3:21" x14ac:dyDescent="0.25">
      <c r="C8" s="210"/>
      <c r="D8" s="160" t="s">
        <v>68</v>
      </c>
      <c r="E8" s="166">
        <f>'Sensitivity &amp; B-C Analysis'!D76</f>
        <v>1.2324803745453838E-2</v>
      </c>
      <c r="F8" s="154">
        <v>1</v>
      </c>
      <c r="G8" s="157">
        <f t="shared" ref="G8:G12" si="2">S8</f>
        <v>123.83229141685909</v>
      </c>
      <c r="I8" s="152">
        <f>'Sensitivity &amp; B-C Analysis'!O67</f>
        <v>123.79746808446191</v>
      </c>
      <c r="K8" t="s">
        <v>59</v>
      </c>
      <c r="L8" s="152">
        <f>'Sensitivity &amp; B-C Analysis'!$O$28</f>
        <v>8256.2297453805804</v>
      </c>
      <c r="O8" s="170">
        <v>1.2324803745453838E-2</v>
      </c>
      <c r="P8" s="169">
        <v>1</v>
      </c>
      <c r="Q8" s="171">
        <v>123.79746808446191</v>
      </c>
      <c r="R8" s="171">
        <f t="shared" ref="R8:R12" si="3">$L$12</f>
        <v>10044.579259943688</v>
      </c>
      <c r="S8" s="174">
        <v>123.83229141685909</v>
      </c>
      <c r="T8" s="170">
        <f t="shared" si="0"/>
        <v>1.2324803745453838E-2</v>
      </c>
      <c r="U8" s="170">
        <f t="shared" si="1"/>
        <v>0.99971878633594891</v>
      </c>
    </row>
    <row r="9" spans="3:21" x14ac:dyDescent="0.25">
      <c r="C9" s="210"/>
      <c r="D9" s="160" t="s">
        <v>57</v>
      </c>
      <c r="E9" s="166">
        <f>'Sensitivity &amp; B-C Analysis'!D77</f>
        <v>1.915730519302259E-2</v>
      </c>
      <c r="F9" s="154">
        <v>1</v>
      </c>
      <c r="G9" s="157">
        <f t="shared" si="2"/>
        <v>192.48816930849895</v>
      </c>
      <c r="I9" s="152">
        <f>'Sensitivity &amp; B-C Analysis'!O68</f>
        <v>192.42707041824622</v>
      </c>
      <c r="L9" s="152"/>
      <c r="O9" s="170">
        <v>1.915730519302259E-2</v>
      </c>
      <c r="P9" s="169">
        <v>1</v>
      </c>
      <c r="Q9" s="171">
        <v>192.42707041824622</v>
      </c>
      <c r="R9" s="171">
        <f t="shared" si="3"/>
        <v>10044.579259943688</v>
      </c>
      <c r="S9" s="174">
        <v>192.48816930849895</v>
      </c>
      <c r="T9" s="170">
        <f t="shared" si="0"/>
        <v>1.915730519302259E-2</v>
      </c>
      <c r="U9" s="170">
        <f t="shared" si="1"/>
        <v>0.99968258365970109</v>
      </c>
    </row>
    <row r="10" spans="3:21" x14ac:dyDescent="0.25">
      <c r="C10" s="210" t="s">
        <v>53</v>
      </c>
      <c r="D10" s="160" t="s">
        <v>67</v>
      </c>
      <c r="E10" s="166">
        <f>'Sensitivity &amp; B-C Analysis'!D78</f>
        <v>5.7693371459398811E-2</v>
      </c>
      <c r="F10" s="154">
        <v>1</v>
      </c>
      <c r="G10" s="157">
        <f t="shared" si="2"/>
        <v>579.66188090382786</v>
      </c>
      <c r="I10" s="152">
        <f>'Sensitivity &amp; B-C Analysis'!O69</f>
        <v>579.50564239730443</v>
      </c>
      <c r="K10" t="s">
        <v>60</v>
      </c>
      <c r="L10" s="152">
        <v>0</v>
      </c>
      <c r="O10" s="170">
        <v>5.7693371459398811E-2</v>
      </c>
      <c r="P10" s="169">
        <v>1</v>
      </c>
      <c r="Q10" s="171">
        <v>579.50564239730443</v>
      </c>
      <c r="R10" s="171">
        <f t="shared" si="3"/>
        <v>10044.579259943688</v>
      </c>
      <c r="S10" s="174">
        <v>579.66188090382786</v>
      </c>
      <c r="T10" s="170">
        <f t="shared" si="0"/>
        <v>5.7693371459398811E-2</v>
      </c>
      <c r="U10" s="170">
        <f t="shared" si="1"/>
        <v>0.9997304661360864</v>
      </c>
    </row>
    <row r="11" spans="3:21" x14ac:dyDescent="0.25">
      <c r="C11" s="210"/>
      <c r="D11" s="160" t="s">
        <v>68</v>
      </c>
      <c r="E11" s="166">
        <f>'Sensitivity &amp; B-C Analysis'!D79</f>
        <v>8.6273626218176913E-2</v>
      </c>
      <c r="F11" s="154">
        <v>1</v>
      </c>
      <c r="G11" s="157">
        <f t="shared" si="2"/>
        <v>866.97165628285245</v>
      </c>
      <c r="I11" s="152">
        <f>'Sensitivity &amp; B-C Analysis'!O70</f>
        <v>866.58227659123384</v>
      </c>
      <c r="L11" s="152"/>
      <c r="O11" s="170">
        <v>8.6273626218176913E-2</v>
      </c>
      <c r="P11" s="169">
        <v>1</v>
      </c>
      <c r="Q11" s="171">
        <v>866.58227659123384</v>
      </c>
      <c r="R11" s="171">
        <f t="shared" si="3"/>
        <v>10044.579259943688</v>
      </c>
      <c r="S11" s="174">
        <v>866.97165628285245</v>
      </c>
      <c r="T11" s="170">
        <f t="shared" si="0"/>
        <v>8.6273626218176913E-2</v>
      </c>
      <c r="U11" s="170">
        <f t="shared" si="1"/>
        <v>0.99955087379293561</v>
      </c>
    </row>
    <row r="12" spans="3:21" x14ac:dyDescent="0.25">
      <c r="C12" s="210"/>
      <c r="D12" s="160" t="s">
        <v>57</v>
      </c>
      <c r="E12" s="166">
        <f>'Sensitivity &amp; B-C Analysis'!D80</f>
        <v>0.13410113635115817</v>
      </c>
      <c r="F12" s="154">
        <v>1</v>
      </c>
      <c r="G12" s="157">
        <f t="shared" si="2"/>
        <v>1347.3808338304109</v>
      </c>
      <c r="I12" s="152">
        <f>'Sensitivity &amp; B-C Analysis'!O71</f>
        <v>1346.9894929277239</v>
      </c>
      <c r="K12" t="s">
        <v>61</v>
      </c>
      <c r="L12" s="153">
        <f>'Sensitivity &amp; B-C Analysis'!$O$32</f>
        <v>10044.579259943688</v>
      </c>
      <c r="O12" s="170">
        <v>0.13410113635115817</v>
      </c>
      <c r="P12" s="169">
        <v>1</v>
      </c>
      <c r="Q12" s="171">
        <v>1346.9894929277239</v>
      </c>
      <c r="R12" s="171">
        <f t="shared" si="3"/>
        <v>10044.579259943688</v>
      </c>
      <c r="S12" s="174">
        <v>1347.3808338304109</v>
      </c>
      <c r="T12" s="170">
        <f t="shared" si="0"/>
        <v>0.13410113635115817</v>
      </c>
      <c r="U12" s="170">
        <f t="shared" si="1"/>
        <v>0.999709554349549</v>
      </c>
    </row>
    <row r="20" spans="3:23" x14ac:dyDescent="0.25">
      <c r="C20" s="211" t="s">
        <v>109</v>
      </c>
      <c r="D20" s="213"/>
      <c r="E20" s="154" t="s">
        <v>110</v>
      </c>
      <c r="F20" s="154" t="s">
        <v>111</v>
      </c>
      <c r="G20" s="158" t="s">
        <v>118</v>
      </c>
      <c r="H20" s="41"/>
      <c r="O20" s="211" t="s">
        <v>120</v>
      </c>
      <c r="P20" s="212"/>
      <c r="Q20" s="212"/>
      <c r="R20" s="212"/>
      <c r="S20" s="212"/>
      <c r="T20" s="212"/>
      <c r="U20" s="212"/>
      <c r="V20" s="212"/>
      <c r="W20" s="213"/>
    </row>
    <row r="21" spans="3:23" x14ac:dyDescent="0.25">
      <c r="C21" s="210" t="s">
        <v>28</v>
      </c>
      <c r="D21" s="155" t="s">
        <v>67</v>
      </c>
      <c r="E21" s="156">
        <f t="shared" ref="E21:E26" si="4">I7/($L$7+$L$8)</f>
        <v>8.2419102084855447E-3</v>
      </c>
      <c r="F21" s="154">
        <v>1</v>
      </c>
      <c r="G21" s="157">
        <f>R22</f>
        <v>-8173.4265453546668</v>
      </c>
      <c r="H21" s="36"/>
      <c r="O21" s="169" t="s">
        <v>110</v>
      </c>
      <c r="P21" s="169" t="s">
        <v>111</v>
      </c>
      <c r="Q21" s="169" t="s">
        <v>116</v>
      </c>
      <c r="R21" s="6" t="s">
        <v>122</v>
      </c>
      <c r="S21" s="169" t="s">
        <v>121</v>
      </c>
      <c r="T21" s="172" t="s">
        <v>117</v>
      </c>
      <c r="U21" s="172" t="s">
        <v>117</v>
      </c>
      <c r="V21" s="169" t="s">
        <v>110</v>
      </c>
      <c r="W21" s="169" t="s">
        <v>125</v>
      </c>
    </row>
    <row r="22" spans="3:23" x14ac:dyDescent="0.25">
      <c r="C22" s="210"/>
      <c r="D22" s="155" t="s">
        <v>68</v>
      </c>
      <c r="E22" s="156">
        <f t="shared" si="4"/>
        <v>1.232480374545384E-2</v>
      </c>
      <c r="F22" s="154">
        <v>1</v>
      </c>
      <c r="G22" s="157">
        <f t="shared" ref="G22:G26" si="5">R23</f>
        <v>-8132.3368308259123</v>
      </c>
      <c r="H22" s="36"/>
      <c r="O22" s="170">
        <v>8.2419102084855429E-3</v>
      </c>
      <c r="P22" s="169">
        <v>1</v>
      </c>
      <c r="Q22" s="171">
        <v>82.786520342472045</v>
      </c>
      <c r="R22" s="174">
        <v>-8173.4265453546668</v>
      </c>
      <c r="S22" s="171">
        <v>8256.2297453805804</v>
      </c>
      <c r="T22" s="173">
        <f>R22+S22</f>
        <v>82.803200025913611</v>
      </c>
      <c r="U22" s="173">
        <v>10044.579259943686</v>
      </c>
      <c r="V22" s="170">
        <v>8.2419102084855429E-3</v>
      </c>
      <c r="W22" s="170">
        <f>Q22/(R22+S22)</f>
        <v>0.99979856233290088</v>
      </c>
    </row>
    <row r="23" spans="3:23" x14ac:dyDescent="0.25">
      <c r="C23" s="210"/>
      <c r="D23" s="155" t="s">
        <v>57</v>
      </c>
      <c r="E23" s="156">
        <f t="shared" si="4"/>
        <v>1.9157305193022594E-2</v>
      </c>
      <c r="F23" s="154">
        <v>1</v>
      </c>
      <c r="G23" s="157">
        <f t="shared" si="5"/>
        <v>-8063.697142158836</v>
      </c>
      <c r="H23" s="36"/>
      <c r="O23" s="170">
        <v>1.2324803745453838E-2</v>
      </c>
      <c r="P23" s="169">
        <v>1</v>
      </c>
      <c r="Q23" s="171">
        <v>123.79746808446191</v>
      </c>
      <c r="R23" s="174">
        <v>-8132.3368308259123</v>
      </c>
      <c r="S23" s="171">
        <v>8256.2297453805804</v>
      </c>
      <c r="T23" s="173">
        <f t="shared" ref="T23:T27" si="6">R23+S23</f>
        <v>123.8929145546681</v>
      </c>
      <c r="U23" s="173">
        <v>10044.579259943686</v>
      </c>
      <c r="V23" s="170">
        <v>1.2324803745453838E-2</v>
      </c>
      <c r="W23" s="170">
        <f t="shared" ref="W23:W27" si="7">Q23/(R23+S23)</f>
        <v>0.9992296050944538</v>
      </c>
    </row>
    <row r="24" spans="3:23" x14ac:dyDescent="0.25">
      <c r="C24" s="210" t="s">
        <v>53</v>
      </c>
      <c r="D24" s="155" t="s">
        <v>67</v>
      </c>
      <c r="E24" s="156">
        <f t="shared" si="4"/>
        <v>5.7693371459398825E-2</v>
      </c>
      <c r="F24" s="154">
        <v>1</v>
      </c>
      <c r="G24" s="157">
        <f t="shared" si="5"/>
        <v>-7676.6192519826918</v>
      </c>
      <c r="H24" s="36"/>
      <c r="O24" s="170">
        <v>1.915730519302259E-2</v>
      </c>
      <c r="P24" s="169">
        <v>1</v>
      </c>
      <c r="Q24" s="171">
        <v>192.42707041824622</v>
      </c>
      <c r="R24" s="174">
        <v>-8063.697142158836</v>
      </c>
      <c r="S24" s="171">
        <v>8256.2297453805804</v>
      </c>
      <c r="T24" s="173">
        <f t="shared" si="6"/>
        <v>192.53260322174447</v>
      </c>
      <c r="U24" s="173">
        <v>10044.579259943686</v>
      </c>
      <c r="V24" s="170">
        <v>1.915730519302259E-2</v>
      </c>
      <c r="W24" s="170">
        <f t="shared" si="7"/>
        <v>0.99945187047942885</v>
      </c>
    </row>
    <row r="25" spans="3:23" x14ac:dyDescent="0.25">
      <c r="C25" s="210"/>
      <c r="D25" s="155" t="s">
        <v>68</v>
      </c>
      <c r="E25" s="156">
        <f t="shared" si="4"/>
        <v>8.6273626218176927E-2</v>
      </c>
      <c r="F25" s="154">
        <v>1</v>
      </c>
      <c r="G25" s="157">
        <f t="shared" si="5"/>
        <v>-7389.024502952062</v>
      </c>
      <c r="H25" s="36"/>
      <c r="O25" s="170">
        <v>5.7693371459398811E-2</v>
      </c>
      <c r="P25" s="169">
        <v>1</v>
      </c>
      <c r="Q25" s="171">
        <v>579.50564239730443</v>
      </c>
      <c r="R25" s="174">
        <v>-7676.6192519826918</v>
      </c>
      <c r="S25" s="171">
        <v>8256.2297453805804</v>
      </c>
      <c r="T25" s="173">
        <f t="shared" si="6"/>
        <v>579.6104933978886</v>
      </c>
      <c r="U25" s="173">
        <v>10044.579259943686</v>
      </c>
      <c r="V25" s="170">
        <v>5.7693371459398811E-2</v>
      </c>
      <c r="W25" s="170">
        <f t="shared" si="7"/>
        <v>0.99981910092764281</v>
      </c>
    </row>
    <row r="26" spans="3:23" x14ac:dyDescent="0.25">
      <c r="C26" s="210"/>
      <c r="D26" s="155" t="s">
        <v>57</v>
      </c>
      <c r="E26" s="156">
        <f t="shared" si="4"/>
        <v>0.1341011363511582</v>
      </c>
      <c r="F26" s="154">
        <v>1</v>
      </c>
      <c r="G26" s="157">
        <f t="shared" si="5"/>
        <v>-6908.9665589369779</v>
      </c>
      <c r="H26" s="36"/>
      <c r="O26" s="170">
        <v>8.6273626218176913E-2</v>
      </c>
      <c r="P26" s="169">
        <v>1</v>
      </c>
      <c r="Q26" s="171">
        <v>866.58227659123384</v>
      </c>
      <c r="R26" s="174">
        <v>-7389.024502952062</v>
      </c>
      <c r="S26" s="171">
        <v>8256.2297453805804</v>
      </c>
      <c r="T26" s="173">
        <f t="shared" si="6"/>
        <v>867.20524242851843</v>
      </c>
      <c r="U26" s="173">
        <v>10044.579259943686</v>
      </c>
      <c r="V26" s="170">
        <v>8.6273626218176913E-2</v>
      </c>
      <c r="W26" s="170">
        <f t="shared" si="7"/>
        <v>0.99928163967789208</v>
      </c>
    </row>
    <row r="27" spans="3:23" x14ac:dyDescent="0.25">
      <c r="O27" s="170">
        <v>0.13410113635115817</v>
      </c>
      <c r="P27" s="169">
        <v>1</v>
      </c>
      <c r="Q27" s="171">
        <v>1346.9894929277239</v>
      </c>
      <c r="R27" s="174">
        <v>-6908.9665589369779</v>
      </c>
      <c r="S27" s="171">
        <v>8256.2297453805804</v>
      </c>
      <c r="T27" s="173">
        <f t="shared" si="6"/>
        <v>1347.2631864436025</v>
      </c>
      <c r="U27" s="173">
        <v>10044.579259943686</v>
      </c>
      <c r="V27" s="170">
        <v>0.13410113635115817</v>
      </c>
      <c r="W27" s="170">
        <f t="shared" si="7"/>
        <v>0.99979685222706849</v>
      </c>
    </row>
    <row r="31" spans="3:23" x14ac:dyDescent="0.25">
      <c r="C31" s="214" t="s">
        <v>109</v>
      </c>
      <c r="D31" s="215"/>
      <c r="E31" s="154" t="s">
        <v>110</v>
      </c>
      <c r="F31" s="154" t="s">
        <v>111</v>
      </c>
      <c r="G31" s="155" t="s">
        <v>119</v>
      </c>
      <c r="O31" s="211" t="s">
        <v>120</v>
      </c>
      <c r="P31" s="212"/>
      <c r="Q31" s="212"/>
      <c r="R31" s="212"/>
      <c r="S31" s="212"/>
      <c r="T31" s="212"/>
      <c r="U31" s="212"/>
      <c r="V31" s="212"/>
      <c r="W31" s="213"/>
    </row>
    <row r="32" spans="3:23" x14ac:dyDescent="0.25">
      <c r="C32" s="210" t="s">
        <v>28</v>
      </c>
      <c r="D32" s="160" t="s">
        <v>67</v>
      </c>
      <c r="E32" s="156">
        <f>'Sensitivity &amp; B-C Analysis'!D75</f>
        <v>8.2419102084855429E-3</v>
      </c>
      <c r="F32" s="154">
        <v>1</v>
      </c>
      <c r="G32" s="159">
        <f>S33</f>
        <v>-1705.5569685197363</v>
      </c>
      <c r="H32" s="36"/>
      <c r="O32" s="169" t="s">
        <v>110</v>
      </c>
      <c r="P32" s="169" t="s">
        <v>111</v>
      </c>
      <c r="Q32" s="169" t="s">
        <v>116</v>
      </c>
      <c r="R32" s="169" t="s">
        <v>118</v>
      </c>
      <c r="S32" s="6" t="s">
        <v>123</v>
      </c>
      <c r="T32" s="169" t="s">
        <v>117</v>
      </c>
      <c r="U32" s="169" t="s">
        <v>117</v>
      </c>
      <c r="V32" s="169" t="s">
        <v>110</v>
      </c>
      <c r="W32" s="169" t="s">
        <v>125</v>
      </c>
    </row>
    <row r="33" spans="3:23" x14ac:dyDescent="0.25">
      <c r="C33" s="210"/>
      <c r="D33" s="160" t="s">
        <v>68</v>
      </c>
      <c r="E33" s="156">
        <f>'Sensitivity &amp; B-C Analysis'!D76</f>
        <v>1.2324803745453838E-2</v>
      </c>
      <c r="F33" s="154">
        <v>1</v>
      </c>
      <c r="G33" s="159">
        <f t="shared" ref="G33:G37" si="8">S34</f>
        <v>-1664.5502337731887</v>
      </c>
      <c r="H33" s="36"/>
      <c r="O33" s="170">
        <v>8.2419102084855429E-3</v>
      </c>
      <c r="P33" s="169">
        <v>1</v>
      </c>
      <c r="Q33" s="171">
        <v>82.786520342472045</v>
      </c>
      <c r="R33" s="171">
        <v>1788.3495145631068</v>
      </c>
      <c r="S33" s="174">
        <v>-1705.5569685197363</v>
      </c>
      <c r="T33" s="169">
        <v>82.803200025913611</v>
      </c>
      <c r="U33" s="171">
        <v>10044.579259943686</v>
      </c>
      <c r="V33" s="170">
        <v>8.2419102084855429E-3</v>
      </c>
      <c r="W33" s="170">
        <f>Q33/(R33+S33)</f>
        <v>0.999927219282575</v>
      </c>
    </row>
    <row r="34" spans="3:23" x14ac:dyDescent="0.25">
      <c r="C34" s="210"/>
      <c r="D34" s="160" t="s">
        <v>57</v>
      </c>
      <c r="E34" s="156">
        <f>'Sensitivity &amp; B-C Analysis'!D77</f>
        <v>1.915730519302259E-2</v>
      </c>
      <c r="F34" s="154">
        <v>1</v>
      </c>
      <c r="G34" s="159">
        <f t="shared" si="8"/>
        <v>-1595.8900743918834</v>
      </c>
      <c r="H34" s="36"/>
      <c r="O34" s="170">
        <v>1.2324803745453838E-2</v>
      </c>
      <c r="P34" s="169">
        <v>1</v>
      </c>
      <c r="Q34" s="171">
        <v>123.79746808446191</v>
      </c>
      <c r="R34" s="171">
        <v>1788.3495145631068</v>
      </c>
      <c r="S34" s="174">
        <v>-1664.5502337731887</v>
      </c>
      <c r="T34" s="169">
        <v>123.8929145546681</v>
      </c>
      <c r="U34" s="171">
        <v>10044.579259943686</v>
      </c>
      <c r="V34" s="170">
        <v>1.2324803745453838E-2</v>
      </c>
      <c r="W34" s="170">
        <f t="shared" ref="W34:W38" si="9">Q34/(R34+S34)</f>
        <v>0.99998535770608132</v>
      </c>
    </row>
    <row r="35" spans="3:23" x14ac:dyDescent="0.25">
      <c r="C35" s="210" t="s">
        <v>53</v>
      </c>
      <c r="D35" s="160" t="s">
        <v>67</v>
      </c>
      <c r="E35" s="156">
        <f>'Sensitivity &amp; B-C Analysis'!D78</f>
        <v>5.7693371459398811E-2</v>
      </c>
      <c r="F35" s="154">
        <v>1</v>
      </c>
      <c r="G35" s="159">
        <f t="shared" si="8"/>
        <v>-1208.8238241272347</v>
      </c>
      <c r="H35" s="36"/>
      <c r="O35" s="170">
        <v>1.915730519302259E-2</v>
      </c>
      <c r="P35" s="169">
        <v>1</v>
      </c>
      <c r="Q35" s="171">
        <v>192.42707041824622</v>
      </c>
      <c r="R35" s="171">
        <v>1788.3495145631068</v>
      </c>
      <c r="S35" s="174">
        <v>-1595.8900743918834</v>
      </c>
      <c r="T35" s="169">
        <v>192.53260322174447</v>
      </c>
      <c r="U35" s="171">
        <v>10044.579259943686</v>
      </c>
      <c r="V35" s="170">
        <v>1.915730519302259E-2</v>
      </c>
      <c r="W35" s="170">
        <f t="shared" si="9"/>
        <v>0.99983181000137811</v>
      </c>
    </row>
    <row r="36" spans="3:23" x14ac:dyDescent="0.25">
      <c r="C36" s="210"/>
      <c r="D36" s="160" t="s">
        <v>68</v>
      </c>
      <c r="E36" s="156">
        <f>'Sensitivity &amp; B-C Analysis'!D79</f>
        <v>8.6273626218176913E-2</v>
      </c>
      <c r="F36" s="154">
        <v>1</v>
      </c>
      <c r="G36" s="159">
        <f t="shared" si="8"/>
        <v>-920.95266524114618</v>
      </c>
      <c r="H36" s="36"/>
      <c r="O36" s="170">
        <v>5.7693371459398811E-2</v>
      </c>
      <c r="P36" s="169">
        <v>1</v>
      </c>
      <c r="Q36" s="171">
        <v>579.50564239730443</v>
      </c>
      <c r="R36" s="171">
        <v>1788.3495145631068</v>
      </c>
      <c r="S36" s="174">
        <v>-1208.8238241272347</v>
      </c>
      <c r="T36" s="169">
        <v>579.6104933978886</v>
      </c>
      <c r="U36" s="171">
        <v>10044.579259943686</v>
      </c>
      <c r="V36" s="170">
        <v>5.7693371459398811E-2</v>
      </c>
      <c r="W36" s="170">
        <f t="shared" si="9"/>
        <v>0.99996540612625373</v>
      </c>
    </row>
    <row r="37" spans="3:23" x14ac:dyDescent="0.25">
      <c r="C37" s="210"/>
      <c r="D37" s="160" t="s">
        <v>57</v>
      </c>
      <c r="E37" s="156">
        <f>'Sensitivity &amp; B-C Analysis'!D80</f>
        <v>0.13410113635115817</v>
      </c>
      <c r="F37" s="154">
        <v>1</v>
      </c>
      <c r="G37" s="159">
        <f t="shared" si="8"/>
        <v>-441.90073069296614</v>
      </c>
      <c r="H37" s="36"/>
      <c r="O37" s="170">
        <v>8.6273626218176913E-2</v>
      </c>
      <c r="P37" s="169">
        <v>1</v>
      </c>
      <c r="Q37" s="171">
        <v>866.58227659123384</v>
      </c>
      <c r="R37" s="171">
        <v>1788.3495145631068</v>
      </c>
      <c r="S37" s="174">
        <v>-920.95266524114618</v>
      </c>
      <c r="T37" s="169">
        <v>867.20524242851843</v>
      </c>
      <c r="U37" s="171">
        <v>10044.579259943686</v>
      </c>
      <c r="V37" s="170">
        <v>8.6273626218176913E-2</v>
      </c>
      <c r="W37" s="170">
        <f t="shared" si="9"/>
        <v>0.99906089959703737</v>
      </c>
    </row>
    <row r="38" spans="3:23" x14ac:dyDescent="0.25">
      <c r="O38" s="170">
        <v>0.13410113635115817</v>
      </c>
      <c r="P38" s="169">
        <v>1</v>
      </c>
      <c r="Q38" s="171">
        <v>1346.9894929277239</v>
      </c>
      <c r="R38" s="171">
        <v>1788.3495145631068</v>
      </c>
      <c r="S38" s="174">
        <v>-441.90073069296614</v>
      </c>
      <c r="T38" s="169">
        <v>1347.2631864436025</v>
      </c>
      <c r="U38" s="171">
        <v>10044.579259943686</v>
      </c>
      <c r="V38" s="170">
        <v>0.13410113635115817</v>
      </c>
      <c r="W38" s="170">
        <f t="shared" si="9"/>
        <v>1.0004015816004743</v>
      </c>
    </row>
    <row r="53" spans="4:19" x14ac:dyDescent="0.25">
      <c r="D53" s="45"/>
      <c r="E53" s="26">
        <v>2010</v>
      </c>
      <c r="F53" s="26">
        <v>2011</v>
      </c>
      <c r="G53" s="26">
        <v>2012</v>
      </c>
      <c r="H53" s="26">
        <v>2013</v>
      </c>
      <c r="I53" s="26">
        <v>2014</v>
      </c>
      <c r="J53" s="26">
        <v>2015</v>
      </c>
      <c r="K53" s="26">
        <v>2016</v>
      </c>
      <c r="L53" s="26">
        <v>2017</v>
      </c>
      <c r="M53" s="26">
        <v>2018</v>
      </c>
      <c r="N53" s="26">
        <v>2019</v>
      </c>
      <c r="O53" s="26">
        <v>2020</v>
      </c>
      <c r="P53" s="44" t="s">
        <v>115</v>
      </c>
      <c r="Q53" s="45" t="s">
        <v>127</v>
      </c>
      <c r="R53" s="45" t="s">
        <v>128</v>
      </c>
      <c r="S53" s="45" t="s">
        <v>126</v>
      </c>
    </row>
    <row r="54" spans="4:19" x14ac:dyDescent="0.25">
      <c r="D54" s="24" t="s">
        <v>36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50"/>
    </row>
    <row r="55" spans="4:19" x14ac:dyDescent="0.25">
      <c r="D55" s="51" t="str">
        <f>'Assumptions and Raw Data'!C6</f>
        <v>Tank</v>
      </c>
      <c r="E55" s="162"/>
      <c r="F55" s="76">
        <f>'Assumptions and Raw Data'!F6</f>
        <v>617</v>
      </c>
      <c r="G55" s="51"/>
      <c r="H55" s="51"/>
      <c r="I55" s="51"/>
      <c r="J55" s="51"/>
      <c r="K55" s="51"/>
      <c r="L55" s="51"/>
      <c r="M55" s="51"/>
      <c r="N55" s="51"/>
      <c r="O55" s="51"/>
      <c r="P55" s="175">
        <f>NPV(0.03,F55:O55)</f>
        <v>599.02912621359224</v>
      </c>
      <c r="Q55" s="136">
        <f>P55/$P$63</f>
        <v>0.33496199782844732</v>
      </c>
      <c r="R55" s="136"/>
      <c r="S55" s="179">
        <f t="shared" ref="S55:S62" si="10">P55/$P$69</f>
        <v>5.9637055043453409E-2</v>
      </c>
    </row>
    <row r="56" spans="4:19" x14ac:dyDescent="0.25">
      <c r="D56" s="51" t="str">
        <f>'Assumptions and Raw Data'!C7</f>
        <v>Tank Steel Frame</v>
      </c>
      <c r="E56" s="51"/>
      <c r="F56" s="77">
        <f>'Assumptions and Raw Data'!F7</f>
        <v>175</v>
      </c>
      <c r="G56" s="77"/>
      <c r="H56" s="77"/>
      <c r="I56" s="77"/>
      <c r="J56" s="77"/>
      <c r="K56" s="77"/>
      <c r="L56" s="77"/>
      <c r="M56" s="77"/>
      <c r="N56" s="77"/>
      <c r="O56" s="77"/>
      <c r="P56" s="175">
        <f t="shared" ref="P56:P62" si="11">NPV(0.03,F56:O56)</f>
        <v>169.90291262135921</v>
      </c>
      <c r="Q56" s="136">
        <f t="shared" ref="Q56:Q62" si="12">P56/$P$63</f>
        <v>9.5005428881650367E-2</v>
      </c>
      <c r="R56" s="136"/>
      <c r="S56" s="179">
        <f t="shared" si="10"/>
        <v>1.6914885952357125E-2</v>
      </c>
    </row>
    <row r="57" spans="4:19" s="45" customFormat="1" x14ac:dyDescent="0.25">
      <c r="D57" s="51" t="str">
        <f>'Assumptions and Raw Data'!C8</f>
        <v>Additional Hardware</v>
      </c>
      <c r="E57" s="51"/>
      <c r="F57" s="77">
        <f>'Assumptions and Raw Data'!F8</f>
        <v>150</v>
      </c>
      <c r="G57" s="77"/>
      <c r="H57" s="77"/>
      <c r="I57" s="77"/>
      <c r="J57" s="77"/>
      <c r="K57" s="77"/>
      <c r="L57" s="77"/>
      <c r="M57" s="77"/>
      <c r="N57" s="77"/>
      <c r="O57" s="77"/>
      <c r="P57" s="175">
        <f t="shared" si="11"/>
        <v>145.63106796116506</v>
      </c>
      <c r="Q57" s="136">
        <f t="shared" si="12"/>
        <v>8.1433224755700334E-2</v>
      </c>
      <c r="R57" s="136"/>
      <c r="S57" s="179">
        <f t="shared" si="10"/>
        <v>1.4498473673448966E-2</v>
      </c>
    </row>
    <row r="58" spans="4:19" s="45" customFormat="1" x14ac:dyDescent="0.25">
      <c r="D58" s="51" t="str">
        <f>'Assumptions and Raw Data'!C9</f>
        <v>Insulation</v>
      </c>
      <c r="E58" s="51"/>
      <c r="F58" s="77">
        <f>'Assumptions and Raw Data'!F9</f>
        <v>50</v>
      </c>
      <c r="G58" s="77"/>
      <c r="H58" s="77"/>
      <c r="I58" s="77"/>
      <c r="J58" s="77"/>
      <c r="K58" s="77"/>
      <c r="L58" s="77"/>
      <c r="M58" s="77"/>
      <c r="N58" s="77"/>
      <c r="O58" s="77"/>
      <c r="P58" s="175">
        <f t="shared" si="11"/>
        <v>48.543689320388346</v>
      </c>
      <c r="Q58" s="136">
        <f t="shared" si="12"/>
        <v>2.7144408251900107E-2</v>
      </c>
      <c r="R58" s="136"/>
      <c r="S58" s="179">
        <f t="shared" si="10"/>
        <v>4.8328245578163212E-3</v>
      </c>
    </row>
    <row r="59" spans="4:19" s="45" customFormat="1" x14ac:dyDescent="0.25">
      <c r="D59" s="51" t="str">
        <f>'Assumptions and Raw Data'!C10</f>
        <v>Research / Consultation</v>
      </c>
      <c r="E59" s="51"/>
      <c r="F59" s="77">
        <f>'Assumptions and Raw Data'!F10</f>
        <v>600</v>
      </c>
      <c r="G59" s="77"/>
      <c r="H59" s="77"/>
      <c r="I59" s="77"/>
      <c r="J59" s="77"/>
      <c r="K59" s="77"/>
      <c r="L59" s="77"/>
      <c r="M59" s="77"/>
      <c r="N59" s="77"/>
      <c r="O59" s="77"/>
      <c r="P59" s="175">
        <f t="shared" si="11"/>
        <v>582.52427184466023</v>
      </c>
      <c r="Q59" s="136">
        <f t="shared" si="12"/>
        <v>0.32573289902280134</v>
      </c>
      <c r="R59" s="136"/>
      <c r="S59" s="179">
        <f t="shared" si="10"/>
        <v>5.7993894693795865E-2</v>
      </c>
    </row>
    <row r="60" spans="4:19" s="45" customFormat="1" x14ac:dyDescent="0.25">
      <c r="D60" s="51" t="str">
        <f>'Assumptions and Raw Data'!C11</f>
        <v>Shipping</v>
      </c>
      <c r="E60" s="51"/>
      <c r="F60" s="77">
        <f>'Assumptions and Raw Data'!F11</f>
        <v>100</v>
      </c>
      <c r="G60" s="77"/>
      <c r="H60" s="77"/>
      <c r="I60" s="77"/>
      <c r="J60" s="77"/>
      <c r="K60" s="77"/>
      <c r="L60" s="77"/>
      <c r="M60" s="77"/>
      <c r="N60" s="77"/>
      <c r="O60" s="77"/>
      <c r="P60" s="175">
        <f t="shared" si="11"/>
        <v>97.087378640776691</v>
      </c>
      <c r="Q60" s="136">
        <f t="shared" si="12"/>
        <v>5.4288816503800214E-2</v>
      </c>
      <c r="R60" s="136"/>
      <c r="S60" s="179">
        <f t="shared" si="10"/>
        <v>9.6656491156326425E-3</v>
      </c>
    </row>
    <row r="61" spans="4:19" s="45" customFormat="1" x14ac:dyDescent="0.25">
      <c r="D61" s="51" t="str">
        <f>'Assumptions and Raw Data'!C12</f>
        <v>Psycrophiles</v>
      </c>
      <c r="E61" s="51"/>
      <c r="F61" s="77">
        <f>'Assumptions and Raw Data'!F12</f>
        <v>50</v>
      </c>
      <c r="G61" s="77"/>
      <c r="H61" s="77"/>
      <c r="I61" s="77"/>
      <c r="J61" s="77"/>
      <c r="K61" s="77"/>
      <c r="L61" s="77"/>
      <c r="M61" s="77"/>
      <c r="N61" s="77"/>
      <c r="O61" s="77"/>
      <c r="P61" s="175">
        <f t="shared" si="11"/>
        <v>48.543689320388346</v>
      </c>
      <c r="Q61" s="136">
        <f t="shared" si="12"/>
        <v>2.7144408251900107E-2</v>
      </c>
      <c r="R61" s="136"/>
      <c r="S61" s="179">
        <f t="shared" si="10"/>
        <v>4.8328245578163212E-3</v>
      </c>
    </row>
    <row r="62" spans="4:19" s="45" customFormat="1" x14ac:dyDescent="0.25">
      <c r="D62" s="51" t="str">
        <f>'Assumptions and Raw Data'!C13</f>
        <v>Tools</v>
      </c>
      <c r="E62" s="51"/>
      <c r="F62" s="77">
        <f>'Assumptions and Raw Data'!F13</f>
        <v>100</v>
      </c>
      <c r="G62" s="77"/>
      <c r="H62" s="77"/>
      <c r="I62" s="77"/>
      <c r="J62" s="77"/>
      <c r="K62" s="77"/>
      <c r="L62" s="77"/>
      <c r="M62" s="77"/>
      <c r="N62" s="77"/>
      <c r="O62" s="77"/>
      <c r="P62" s="175">
        <f t="shared" si="11"/>
        <v>97.087378640776691</v>
      </c>
      <c r="Q62" s="136">
        <f t="shared" si="12"/>
        <v>5.4288816503800214E-2</v>
      </c>
      <c r="R62" s="136"/>
      <c r="S62" s="179">
        <f t="shared" si="10"/>
        <v>9.6656491156326425E-3</v>
      </c>
    </row>
    <row r="63" spans="4:19" s="45" customFormat="1" x14ac:dyDescent="0.25">
      <c r="D63" s="51"/>
      <c r="E63" s="51"/>
      <c r="F63" s="77"/>
      <c r="G63" s="77"/>
      <c r="H63" s="77"/>
      <c r="I63" s="77"/>
      <c r="J63" s="77"/>
      <c r="K63" s="77"/>
      <c r="L63" s="77"/>
      <c r="M63" s="77"/>
      <c r="N63" s="77"/>
      <c r="O63" s="77" t="s">
        <v>30</v>
      </c>
      <c r="P63" s="181">
        <f>SUM(P55:P62)</f>
        <v>1788.3495145631068</v>
      </c>
      <c r="Q63" s="136">
        <f>P63/$P$63</f>
        <v>1</v>
      </c>
      <c r="R63" s="136"/>
      <c r="S63" s="179"/>
    </row>
    <row r="64" spans="4:19" s="45" customFormat="1" x14ac:dyDescent="0.25">
      <c r="D64" s="51"/>
      <c r="E64" s="51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175"/>
      <c r="R64" s="136"/>
    </row>
    <row r="65" spans="4:19" x14ac:dyDescent="0.25">
      <c r="D65" s="51" t="s">
        <v>21</v>
      </c>
      <c r="E65" s="162"/>
      <c r="F65" s="162">
        <f>'Assumptions and Raw Data'!F22</f>
        <v>604.5</v>
      </c>
      <c r="G65" s="162">
        <f>F65+F65*'Sensitivity &amp; B-C Analysis'!$E$8</f>
        <v>619.79385000000002</v>
      </c>
      <c r="H65" s="162">
        <f>G65+G65*'Sensitivity &amp; B-C Analysis'!$E$8</f>
        <v>635.47463440500007</v>
      </c>
      <c r="I65" s="162">
        <f>H65+H65*'Sensitivity &amp; B-C Analysis'!$E$8</f>
        <v>651.55214265544657</v>
      </c>
      <c r="J65" s="162">
        <f>I65+I65*'Sensitivity &amp; B-C Analysis'!$E$8</f>
        <v>668.03641186462937</v>
      </c>
      <c r="K65" s="162">
        <f>J65+J65*'Sensitivity &amp; B-C Analysis'!$E$8</f>
        <v>684.93773308480445</v>
      </c>
      <c r="L65" s="162">
        <f>K65+K65*'Sensitivity &amp; B-C Analysis'!$E$8</f>
        <v>702.26665773185005</v>
      </c>
      <c r="M65" s="162">
        <f>L65+L65*'Sensitivity &amp; B-C Analysis'!$E$8</f>
        <v>720.03400417246587</v>
      </c>
      <c r="N65" s="162">
        <f>M65+M65*'Sensitivity &amp; B-C Analysis'!$E$8</f>
        <v>738.25086447802926</v>
      </c>
      <c r="O65" s="162">
        <f>N65+N65*'Sensitivity &amp; B-C Analysis'!$E$8</f>
        <v>756.92861134932343</v>
      </c>
      <c r="P65" s="175">
        <f t="shared" ref="P65:P69" si="13">NPV(0.03,F65:O65)</f>
        <v>5749.8742869614771</v>
      </c>
      <c r="R65" s="136">
        <f>P65/$P$68</f>
        <v>0.6964285714285714</v>
      </c>
      <c r="S65" s="179">
        <f>P65/$P$69</f>
        <v>0.57243555336271124</v>
      </c>
    </row>
    <row r="66" spans="4:19" x14ac:dyDescent="0.25">
      <c r="D66" s="51" t="s">
        <v>23</v>
      </c>
      <c r="E66" s="162"/>
      <c r="F66" s="162">
        <f>'Assumptions and Raw Data'!F23</f>
        <v>201.5</v>
      </c>
      <c r="G66" s="162">
        <f>F66+F66*'Sensitivity &amp; B-C Analysis'!$E$8</f>
        <v>206.59795</v>
      </c>
      <c r="H66" s="162">
        <f>G66+G66*'Sensitivity &amp; B-C Analysis'!$E$8</f>
        <v>211.82487813500001</v>
      </c>
      <c r="I66" s="162">
        <f>H66+H66*'Sensitivity &amp; B-C Analysis'!$E$8</f>
        <v>217.1840475518155</v>
      </c>
      <c r="J66" s="162">
        <f>I66+I66*'Sensitivity &amp; B-C Analysis'!$E$8</f>
        <v>222.67880395487643</v>
      </c>
      <c r="K66" s="162">
        <f>J66+J66*'Sensitivity &amp; B-C Analysis'!$E$8</f>
        <v>228.31257769493482</v>
      </c>
      <c r="L66" s="162">
        <f>K66+K66*'Sensitivity &amp; B-C Analysis'!$E$8</f>
        <v>234.08888591061668</v>
      </c>
      <c r="M66" s="162">
        <f>L66+L66*'Sensitivity &amp; B-C Analysis'!$E$8</f>
        <v>240.01133472415529</v>
      </c>
      <c r="N66" s="162">
        <f>M66+M66*'Sensitivity &amp; B-C Analysis'!$E$8</f>
        <v>246.08362149267643</v>
      </c>
      <c r="O66" s="162">
        <f>N66+N66*'Sensitivity &amp; B-C Analysis'!$E$8</f>
        <v>252.30953711644113</v>
      </c>
      <c r="P66" s="175">
        <f t="shared" si="13"/>
        <v>1916.6247623204924</v>
      </c>
      <c r="R66" s="136">
        <f>P66/$P$68</f>
        <v>0.23214285714285715</v>
      </c>
      <c r="S66" s="179">
        <f>P66/$P$69</f>
        <v>0.19081185112090374</v>
      </c>
    </row>
    <row r="67" spans="4:19" x14ac:dyDescent="0.25">
      <c r="D67" s="51" t="s">
        <v>25</v>
      </c>
      <c r="E67" s="162"/>
      <c r="F67" s="162">
        <f>'Assumptions and Raw Data'!F24</f>
        <v>62</v>
      </c>
      <c r="G67" s="162">
        <f>F67+F67*'Sensitivity &amp; B-C Analysis'!$E$8</f>
        <v>63.568600000000004</v>
      </c>
      <c r="H67" s="162">
        <f>G67+G67*'Sensitivity &amp; B-C Analysis'!$E$8</f>
        <v>65.176885580000004</v>
      </c>
      <c r="I67" s="162">
        <f>H67+H67*'Sensitivity &amp; B-C Analysis'!$E$8</f>
        <v>66.825860785174001</v>
      </c>
      <c r="J67" s="162">
        <f>I67+I67*'Sensitivity &amp; B-C Analysis'!$E$8</f>
        <v>68.516555063038908</v>
      </c>
      <c r="K67" s="162">
        <f>J67+J67*'Sensitivity &amp; B-C Analysis'!$E$8</f>
        <v>70.250023906133791</v>
      </c>
      <c r="L67" s="162">
        <f>K67+K67*'Sensitivity &amp; B-C Analysis'!$E$8</f>
        <v>72.02734951095897</v>
      </c>
      <c r="M67" s="162">
        <f>L67+L67*'Sensitivity &amp; B-C Analysis'!$E$8</f>
        <v>73.84964145358623</v>
      </c>
      <c r="N67" s="162">
        <f>M67+M67*'Sensitivity &amp; B-C Analysis'!$E$8</f>
        <v>75.718037382361956</v>
      </c>
      <c r="O67" s="162">
        <f>N67+N67*'Sensitivity &amp; B-C Analysis'!$E$8</f>
        <v>77.633703728135714</v>
      </c>
      <c r="P67" s="175">
        <f t="shared" si="13"/>
        <v>589.73069609861295</v>
      </c>
      <c r="R67" s="136">
        <f>P67/$P$68</f>
        <v>7.1428571428571425E-2</v>
      </c>
      <c r="S67" s="179">
        <f>P67/$P$69</f>
        <v>5.8711338806431909E-2</v>
      </c>
    </row>
    <row r="68" spans="4:19" s="45" customFormat="1" x14ac:dyDescent="0.25"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 t="s">
        <v>31</v>
      </c>
      <c r="P68" s="181">
        <f>SUM(P65:P67)</f>
        <v>8256.2297453805822</v>
      </c>
      <c r="R68" s="136">
        <f>P68/$P$68</f>
        <v>1</v>
      </c>
      <c r="S68" s="179">
        <f>P69/$P$69</f>
        <v>1</v>
      </c>
    </row>
    <row r="69" spans="4:19" x14ac:dyDescent="0.25">
      <c r="D69" s="78" t="s">
        <v>61</v>
      </c>
      <c r="E69" s="178"/>
      <c r="F69" s="178">
        <f>SUM(F55:F68)</f>
        <v>2710</v>
      </c>
      <c r="G69" s="178">
        <f t="shared" ref="G69:O69" si="14">SUM(G55:G68)</f>
        <v>889.96039999999994</v>
      </c>
      <c r="H69" s="178">
        <f t="shared" si="14"/>
        <v>912.47639812</v>
      </c>
      <c r="I69" s="178">
        <f t="shared" si="14"/>
        <v>935.56205099243607</v>
      </c>
      <c r="J69" s="178">
        <f t="shared" si="14"/>
        <v>959.23177088254477</v>
      </c>
      <c r="K69" s="178">
        <f t="shared" si="14"/>
        <v>983.5003346858731</v>
      </c>
      <c r="L69" s="178">
        <f t="shared" si="14"/>
        <v>1008.3828931534257</v>
      </c>
      <c r="M69" s="178">
        <f t="shared" si="14"/>
        <v>1033.8949803502073</v>
      </c>
      <c r="N69" s="178">
        <f t="shared" si="14"/>
        <v>1060.0525233530677</v>
      </c>
      <c r="O69" s="178">
        <f t="shared" si="14"/>
        <v>1086.8718521939002</v>
      </c>
      <c r="P69" s="175">
        <f t="shared" si="13"/>
        <v>10044.579259943688</v>
      </c>
      <c r="R69" s="136"/>
    </row>
    <row r="71" spans="4:19" x14ac:dyDescent="0.25">
      <c r="P71" s="180"/>
    </row>
  </sheetData>
  <mergeCells count="12">
    <mergeCell ref="O5:U5"/>
    <mergeCell ref="O20:W20"/>
    <mergeCell ref="O31:W31"/>
    <mergeCell ref="C31:D31"/>
    <mergeCell ref="C20:D20"/>
    <mergeCell ref="C6:D6"/>
    <mergeCell ref="C32:C34"/>
    <mergeCell ref="C35:C37"/>
    <mergeCell ref="C7:C9"/>
    <mergeCell ref="C10:C12"/>
    <mergeCell ref="C21:C23"/>
    <mergeCell ref="C24:C26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First</vt:lpstr>
      <vt:lpstr>Info from UAF Project Manager</vt:lpstr>
      <vt:lpstr>Assumptions and Raw Data</vt:lpstr>
      <vt:lpstr>Sensitivity &amp; B-C Analysis</vt:lpstr>
      <vt:lpstr>Goal Seek and Cost Percentage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Sohrab Pathan</dc:creator>
  <cp:lastModifiedBy>Sohrab Pathan</cp:lastModifiedBy>
  <cp:lastPrinted>2011-09-08T23:15:02Z</cp:lastPrinted>
  <dcterms:created xsi:type="dcterms:W3CDTF">2011-09-06T18:09:43Z</dcterms:created>
  <dcterms:modified xsi:type="dcterms:W3CDTF">2012-12-17T21:55:16Z</dcterms:modified>
</cp:coreProperties>
</file>